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olab200\Dropbox\2017\COCOChemSepで学ぶ化学工学\fsd&amp;xls\"/>
    </mc:Choice>
  </mc:AlternateContent>
  <bookViews>
    <workbookView xWindow="1428" yWindow="1308" windowWidth="18420" windowHeight="13272" activeTab="2"/>
  </bookViews>
  <sheets>
    <sheet name="例題35 多重効用蒸発" sheetId="2" r:id="rId1"/>
    <sheet name="Seader p. 771 ex 17_18" sheetId="1" r:id="rId2"/>
    <sheet name="Stream report" sheetId="3" r:id="rId3"/>
  </sheets>
  <definedNames>
    <definedName name="solver_adj" localSheetId="1" hidden="1">'Seader p. 771 ex 17_18'!$E$2:$E$8</definedName>
    <definedName name="solver_adj" localSheetId="0" hidden="1">'例題35 多重効用蒸発'!$E$2:$E$8</definedName>
    <definedName name="solver_cvg" localSheetId="1" hidden="1">0.0001</definedName>
    <definedName name="solver_cvg" localSheetId="0" hidden="1">0.0001</definedName>
    <definedName name="solver_drv" localSheetId="1" hidden="1">1</definedName>
    <definedName name="solver_drv" localSheetId="0" hidden="1">1</definedName>
    <definedName name="solver_eng" localSheetId="1" hidden="1">1</definedName>
    <definedName name="solver_eng" localSheetId="0" hidden="1">1</definedName>
    <definedName name="solver_est" localSheetId="1" hidden="1">1</definedName>
    <definedName name="solver_est" localSheetId="0" hidden="1">1</definedName>
    <definedName name="solver_itr" localSheetId="1" hidden="1">2147483647</definedName>
    <definedName name="solver_itr" localSheetId="0" hidden="1">2147483647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0.075</definedName>
    <definedName name="solver_mrt" localSheetId="0" hidden="1">0.075</definedName>
    <definedName name="solver_msl" localSheetId="1" hidden="1">2</definedName>
    <definedName name="solver_msl" localSheetId="0" hidden="1">2</definedName>
    <definedName name="solver_neg" localSheetId="1" hidden="1">2</definedName>
    <definedName name="solver_neg" localSheetId="0" hidden="1">2</definedName>
    <definedName name="solver_nod" localSheetId="1" hidden="1">2147483647</definedName>
    <definedName name="solver_nod" localSheetId="0" hidden="1">2147483647</definedName>
    <definedName name="solver_num" localSheetId="1" hidden="1">0</definedName>
    <definedName name="solver_num" localSheetId="0" hidden="1">0</definedName>
    <definedName name="solver_nwt" localSheetId="1" hidden="1">1</definedName>
    <definedName name="solver_nwt" localSheetId="0" hidden="1">1</definedName>
    <definedName name="solver_opt" localSheetId="1" hidden="1">'Seader p. 771 ex 17_18'!$H$9</definedName>
    <definedName name="solver_opt" localSheetId="0" hidden="1">'例題35 多重効用蒸発'!$H$9</definedName>
    <definedName name="solver_pre" localSheetId="1" hidden="1">0.001</definedName>
    <definedName name="solver_pre" localSheetId="0" hidden="1">0.001</definedName>
    <definedName name="solver_rbv" localSheetId="1" hidden="1">1</definedName>
    <definedName name="solver_rbv" localSheetId="0" hidden="1">1</definedName>
    <definedName name="solver_rlx" localSheetId="1" hidden="1">2</definedName>
    <definedName name="solver_rlx" localSheetId="0" hidden="1">2</definedName>
    <definedName name="solver_rsd" localSheetId="1" hidden="1">0</definedName>
    <definedName name="solver_rsd" localSheetId="0" hidden="1">0</definedName>
    <definedName name="solver_scl" localSheetId="1" hidden="1">1</definedName>
    <definedName name="solver_scl" localSheetId="0" hidden="1">1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ssz" localSheetId="0" hidden="1">100</definedName>
    <definedName name="solver_tim" localSheetId="1" hidden="1">2147483647</definedName>
    <definedName name="solver_tim" localSheetId="0" hidden="1">2147483647</definedName>
    <definedName name="solver_tol" localSheetId="1" hidden="1">0.01</definedName>
    <definedName name="solver_tol" localSheetId="0" hidden="1">0.01</definedName>
    <definedName name="solver_typ" localSheetId="1" hidden="1">2</definedName>
    <definedName name="solver_typ" localSheetId="0" hidden="1">2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M8" i="1" l="1"/>
  <c r="H9" i="2" l="1"/>
  <c r="H8" i="2"/>
  <c r="H7" i="2"/>
  <c r="H6" i="2"/>
  <c r="H5" i="2"/>
  <c r="H4" i="2"/>
  <c r="H3" i="2"/>
  <c r="H2" i="2"/>
  <c r="I13" i="1"/>
  <c r="I12" i="1"/>
  <c r="I11" i="1"/>
  <c r="K13" i="1"/>
  <c r="K12" i="1"/>
  <c r="K11" i="1"/>
  <c r="C21" i="1" l="1"/>
  <c r="I20" i="1"/>
  <c r="I19" i="1"/>
  <c r="H21" i="1"/>
  <c r="L6" i="1"/>
  <c r="B14" i="1"/>
  <c r="D20" i="1"/>
  <c r="I18" i="1" l="1"/>
  <c r="H5" i="1" l="1"/>
  <c r="H4" i="1"/>
  <c r="H3" i="1"/>
  <c r="H8" i="1"/>
  <c r="H7" i="1"/>
  <c r="H6" i="1"/>
  <c r="H2" i="1"/>
  <c r="B27" i="1"/>
  <c r="E20" i="1" l="1"/>
  <c r="D19" i="1"/>
  <c r="E19" i="1" s="1"/>
  <c r="D18" i="1"/>
  <c r="C19" i="1"/>
  <c r="C20" i="1"/>
  <c r="C18" i="1"/>
  <c r="E18" i="1" l="1"/>
  <c r="E21" i="1" s="1"/>
  <c r="D21" i="1"/>
  <c r="B45" i="1"/>
  <c r="H9" i="1" l="1"/>
  <c r="B42" i="1"/>
  <c r="B24" i="1"/>
  <c r="B38" i="1"/>
  <c r="C38" i="1" s="1"/>
  <c r="D38" i="1" s="1"/>
  <c r="B39" i="1"/>
  <c r="C39" i="1" s="1"/>
  <c r="D39" i="1" s="1"/>
  <c r="B37" i="1"/>
  <c r="C37" i="1" s="1"/>
  <c r="D37" i="1" s="1"/>
  <c r="B34" i="1"/>
</calcChain>
</file>

<file path=xl/comments1.xml><?xml version="1.0" encoding="utf-8"?>
<comments xmlns="http://schemas.openxmlformats.org/spreadsheetml/2006/main">
  <authors>
    <author>itolab200</author>
  </authors>
  <commentList>
    <comment ref="H9" authorId="0" shapeId="0">
      <text>
        <r>
          <rPr>
            <sz val="11"/>
            <color indexed="81"/>
            <rFont val="Arial"/>
            <family val="2"/>
          </rPr>
          <t>=SUMSQ(H2:H8)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itolab200</author>
  </authors>
  <commentList>
    <comment ref="H9" authorId="0" shapeId="0">
      <text>
        <r>
          <rPr>
            <sz val="11"/>
            <color indexed="81"/>
            <rFont val="Arial"/>
            <family val="2"/>
          </rPr>
          <t>=SUMSQ(H2:H8)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<sst xmlns="http://schemas.openxmlformats.org/spreadsheetml/2006/main" count="137" uniqueCount="77">
  <si>
    <t>lb/h</t>
    <phoneticPr fontId="2"/>
  </si>
  <si>
    <t>F</t>
    <phoneticPr fontId="2"/>
  </si>
  <si>
    <t>C</t>
    <phoneticPr fontId="2"/>
  </si>
  <si>
    <t>psia</t>
    <phoneticPr fontId="2"/>
  </si>
  <si>
    <t>kPa</t>
    <phoneticPr fontId="2"/>
  </si>
  <si>
    <t>Btu/lb-F</t>
    <phoneticPr fontId="2"/>
  </si>
  <si>
    <t>J/kg-K</t>
    <phoneticPr fontId="2"/>
  </si>
  <si>
    <t>Btu/h-ft2-F</t>
    <phoneticPr fontId="2"/>
  </si>
  <si>
    <t>J/s-m2-K</t>
    <phoneticPr fontId="2"/>
  </si>
  <si>
    <t>kg/s</t>
    <phoneticPr fontId="2"/>
  </si>
  <si>
    <t>Btu/lb</t>
    <phoneticPr fontId="2"/>
  </si>
  <si>
    <t>J/kg</t>
    <phoneticPr fontId="2"/>
  </si>
  <si>
    <t>J/kg</t>
    <phoneticPr fontId="2"/>
  </si>
  <si>
    <t>J/s-m2-K</t>
    <phoneticPr fontId="2"/>
  </si>
  <si>
    <t>U2</t>
    <phoneticPr fontId="2"/>
  </si>
  <si>
    <t>U3</t>
    <phoneticPr fontId="2"/>
  </si>
  <si>
    <t>kg/s</t>
    <phoneticPr fontId="2"/>
  </si>
  <si>
    <t>m2</t>
    <phoneticPr fontId="2"/>
  </si>
  <si>
    <t>m3</t>
    <phoneticPr fontId="2"/>
  </si>
  <si>
    <t>T2</t>
    <phoneticPr fontId="2"/>
  </si>
  <si>
    <t>ms</t>
    <phoneticPr fontId="2"/>
  </si>
  <si>
    <t>kg/s</t>
    <phoneticPr fontId="2"/>
  </si>
  <si>
    <t>ft2</t>
    <phoneticPr fontId="2"/>
  </si>
  <si>
    <t>Q1</t>
    <phoneticPr fontId="2"/>
  </si>
  <si>
    <t>Q2</t>
    <phoneticPr fontId="2"/>
  </si>
  <si>
    <t>Q3</t>
    <phoneticPr fontId="2"/>
  </si>
  <si>
    <t>Btu/h</t>
    <phoneticPr fontId="2"/>
  </si>
  <si>
    <t>J/s</t>
    <phoneticPr fontId="2"/>
  </si>
  <si>
    <t>この計算</t>
    <rPh sb="2" eb="4">
      <t>ケイサン</t>
    </rPh>
    <phoneticPr fontId="2"/>
  </si>
  <si>
    <t>°C</t>
    <phoneticPr fontId="2"/>
  </si>
  <si>
    <t>mass frac</t>
    <phoneticPr fontId="2"/>
  </si>
  <si>
    <t>蒸発量kg/s</t>
    <rPh sb="0" eb="2">
      <t>ジョウハツ</t>
    </rPh>
    <rPh sb="2" eb="3">
      <t>リョウ</t>
    </rPh>
    <phoneticPr fontId="2"/>
  </si>
  <si>
    <t>UA</t>
    <phoneticPr fontId="2"/>
  </si>
  <si>
    <t>MW</t>
    <phoneticPr fontId="2"/>
  </si>
  <si>
    <t>A</t>
    <phoneticPr fontId="2"/>
  </si>
  <si>
    <t>&lt;COCO&gt;</t>
    <phoneticPr fontId="2"/>
  </si>
  <si>
    <t>定数</t>
    <rPh sb="0" eb="2">
      <t>テイスウ</t>
    </rPh>
    <phoneticPr fontId="2"/>
  </si>
  <si>
    <t>未知数</t>
    <rPh sb="0" eb="3">
      <t>ミチスウ</t>
    </rPh>
    <phoneticPr fontId="2"/>
  </si>
  <si>
    <r>
      <rPr>
        <sz val="11"/>
        <rFont val="ＭＳ Ｐゴシック"/>
        <family val="3"/>
        <charset val="128"/>
      </rPr>
      <t>各缶伝熱面積</t>
    </r>
    <r>
      <rPr>
        <sz val="11"/>
        <rFont val="Arial"/>
        <family val="2"/>
      </rPr>
      <t>A</t>
    </r>
    <rPh sb="0" eb="1">
      <t>カク</t>
    </rPh>
    <rPh sb="1" eb="2">
      <t>カン</t>
    </rPh>
    <rPh sb="2" eb="4">
      <t>デンネツ</t>
    </rPh>
    <rPh sb="4" eb="6">
      <t>メンセキ</t>
    </rPh>
    <phoneticPr fontId="2"/>
  </si>
  <si>
    <r>
      <rPr>
        <sz val="11"/>
        <rFont val="ＭＳ Ｐゴシック"/>
        <family val="3"/>
        <charset val="128"/>
      </rPr>
      <t>溶液流量</t>
    </r>
    <r>
      <rPr>
        <sz val="11"/>
        <rFont val="Arial"/>
        <family val="2"/>
      </rPr>
      <t>m1</t>
    </r>
    <rPh sb="0" eb="2">
      <t>ヨウエキ</t>
    </rPh>
    <rPh sb="2" eb="4">
      <t>リュウリョウ</t>
    </rPh>
    <phoneticPr fontId="2"/>
  </si>
  <si>
    <r>
      <rPr>
        <sz val="11"/>
        <rFont val="ＭＳ Ｐゴシック"/>
        <family val="3"/>
        <charset val="128"/>
      </rPr>
      <t>缶温度</t>
    </r>
    <r>
      <rPr>
        <sz val="11"/>
        <rFont val="Arial"/>
        <family val="2"/>
      </rPr>
      <t>T1</t>
    </r>
    <rPh sb="0" eb="1">
      <t>カン</t>
    </rPh>
    <rPh sb="1" eb="3">
      <t>オンド</t>
    </rPh>
    <phoneticPr fontId="2"/>
  </si>
  <si>
    <t>Q1</t>
    <phoneticPr fontId="2"/>
  </si>
  <si>
    <t>Q2</t>
    <phoneticPr fontId="2"/>
  </si>
  <si>
    <t>Q3</t>
    <phoneticPr fontId="2"/>
  </si>
  <si>
    <t>元問題からの単位換算</t>
    <rPh sb="0" eb="1">
      <t>モト</t>
    </rPh>
    <rPh sb="1" eb="3">
      <t>モンダイ</t>
    </rPh>
    <rPh sb="6" eb="8">
      <t>タンイ</t>
    </rPh>
    <rPh sb="8" eb="10">
      <t>カンサン</t>
    </rPh>
    <phoneticPr fontId="2"/>
  </si>
  <si>
    <t>元問題</t>
    <rPh sb="0" eb="1">
      <t>モト</t>
    </rPh>
    <rPh sb="1" eb="3">
      <t>モンダイ</t>
    </rPh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</si>
  <si>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</si>
  <si>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</si>
  <si>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</si>
  <si>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</si>
  <si>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(5)</t>
    <phoneticPr fontId="2"/>
  </si>
  <si>
    <t>(6)</t>
    <phoneticPr fontId="2"/>
  </si>
  <si>
    <t>(7)</t>
    <phoneticPr fontId="2"/>
  </si>
  <si>
    <r>
      <rPr>
        <sz val="11"/>
        <rFont val="ＭＳ Ｐゴシック"/>
        <family val="3"/>
        <charset val="128"/>
      </rPr>
      <t>蒸発潜熱</t>
    </r>
    <r>
      <rPr>
        <sz val="11"/>
        <rFont val="Arial"/>
        <family val="2"/>
      </rPr>
      <t>ΔvH</t>
    </r>
    <rPh sb="0" eb="2">
      <t>ジョウハツ</t>
    </rPh>
    <rPh sb="2" eb="4">
      <t>センネツ</t>
    </rPh>
    <phoneticPr fontId="2"/>
  </si>
  <si>
    <r>
      <rPr>
        <sz val="11"/>
        <rFont val="ＭＳ Ｐゴシック"/>
        <family val="3"/>
        <charset val="128"/>
      </rPr>
      <t>熱容量</t>
    </r>
    <r>
      <rPr>
        <sz val="11"/>
        <rFont val="Arial"/>
        <family val="2"/>
      </rPr>
      <t>Cp</t>
    </r>
    <rPh sb="0" eb="1">
      <t>ネツ</t>
    </rPh>
    <rPh sb="1" eb="3">
      <t>ヨウリョウ</t>
    </rPh>
    <phoneticPr fontId="2"/>
  </si>
  <si>
    <r>
      <rPr>
        <sz val="11"/>
        <rFont val="ＭＳ Ｐゴシック"/>
        <family val="3"/>
        <charset val="128"/>
      </rPr>
      <t>総括伝熱係数</t>
    </r>
    <r>
      <rPr>
        <sz val="11"/>
        <rFont val="Arial"/>
        <family val="2"/>
      </rPr>
      <t>U1</t>
    </r>
    <rPh sb="0" eb="2">
      <t>ソウカツ</t>
    </rPh>
    <rPh sb="2" eb="4">
      <t>デンネツ</t>
    </rPh>
    <rPh sb="4" eb="6">
      <t>ケイスウ</t>
    </rPh>
    <phoneticPr fontId="2"/>
  </si>
  <si>
    <r>
      <rPr>
        <sz val="11"/>
        <rFont val="ＭＳ Ｐゴシック"/>
        <family val="3"/>
        <charset val="128"/>
      </rPr>
      <t>原液流量</t>
    </r>
    <r>
      <rPr>
        <sz val="11"/>
        <rFont val="Arial"/>
        <family val="2"/>
      </rPr>
      <t>mf</t>
    </r>
    <rPh sb="0" eb="2">
      <t>ゲンエキ</t>
    </rPh>
    <rPh sb="2" eb="4">
      <t>リュウリョウ</t>
    </rPh>
    <phoneticPr fontId="2"/>
  </si>
  <si>
    <r>
      <rPr>
        <sz val="11"/>
        <rFont val="ＭＳ Ｐゴシック"/>
        <family val="3"/>
        <charset val="128"/>
      </rPr>
      <t>原液濃度</t>
    </r>
    <r>
      <rPr>
        <sz val="11"/>
        <rFont val="Arial"/>
        <family val="2"/>
      </rPr>
      <t>wf</t>
    </r>
    <rPh sb="0" eb="2">
      <t>ゲンエキ</t>
    </rPh>
    <rPh sb="2" eb="4">
      <t>ノウド</t>
    </rPh>
    <phoneticPr fontId="2"/>
  </si>
  <si>
    <r>
      <rPr>
        <sz val="11"/>
        <rFont val="ＭＳ Ｐゴシック"/>
        <family val="3"/>
        <charset val="128"/>
      </rPr>
      <t>濃縮液濃度</t>
    </r>
    <r>
      <rPr>
        <sz val="11"/>
        <rFont val="Arial"/>
        <family val="2"/>
      </rPr>
      <t>w3</t>
    </r>
    <rPh sb="0" eb="2">
      <t>ノウシュク</t>
    </rPh>
    <rPh sb="2" eb="3">
      <t>エキ</t>
    </rPh>
    <rPh sb="3" eb="5">
      <t>ノウド</t>
    </rPh>
    <phoneticPr fontId="2"/>
  </si>
  <si>
    <r>
      <rPr>
        <sz val="11"/>
        <rFont val="ＭＳ Ｐゴシック"/>
        <family val="3"/>
        <charset val="128"/>
      </rPr>
      <t>原液温度</t>
    </r>
    <r>
      <rPr>
        <sz val="11"/>
        <rFont val="Arial"/>
        <family val="2"/>
      </rPr>
      <t>Tf</t>
    </r>
    <rPh sb="0" eb="2">
      <t>ゲンエキ</t>
    </rPh>
    <rPh sb="2" eb="4">
      <t>オンド</t>
    </rPh>
    <phoneticPr fontId="2"/>
  </si>
  <si>
    <r>
      <t>3</t>
    </r>
    <r>
      <rPr>
        <sz val="11"/>
        <rFont val="ＭＳ Ｐゴシック"/>
        <family val="3"/>
        <charset val="128"/>
      </rPr>
      <t>缶温度</t>
    </r>
    <r>
      <rPr>
        <sz val="11"/>
        <rFont val="Arial"/>
        <family val="2"/>
      </rPr>
      <t>T3</t>
    </r>
    <rPh sb="1" eb="2">
      <t>カン</t>
    </rPh>
    <rPh sb="2" eb="4">
      <t>オンド</t>
    </rPh>
    <phoneticPr fontId="2"/>
  </si>
  <si>
    <r>
      <rPr>
        <sz val="11"/>
        <rFont val="ＭＳ Ｐゴシック"/>
        <family val="3"/>
        <charset val="128"/>
      </rPr>
      <t>水蒸気温度</t>
    </r>
    <r>
      <rPr>
        <sz val="11"/>
        <rFont val="Arial"/>
        <family val="2"/>
      </rPr>
      <t>Ts</t>
    </r>
    <rPh sb="0" eb="3">
      <t>スイジョウキ</t>
    </rPh>
    <rPh sb="3" eb="5">
      <t>オンド</t>
    </rPh>
    <phoneticPr fontId="2"/>
  </si>
  <si>
    <t>式（残差）</t>
    <rPh sb="0" eb="1">
      <t>シキ</t>
    </rPh>
    <rPh sb="2" eb="4">
      <t>ザンサ</t>
    </rPh>
    <phoneticPr fontId="2"/>
  </si>
  <si>
    <t>効率</t>
    <rPh sb="0" eb="2">
      <t>コウリツ</t>
    </rPh>
    <phoneticPr fontId="2"/>
  </si>
  <si>
    <t>cp COCO</t>
    <phoneticPr fontId="2"/>
  </si>
  <si>
    <t>効率</t>
    <rPh sb="0" eb="2">
      <t>コウリツ</t>
    </rPh>
    <phoneticPr fontId="2"/>
  </si>
  <si>
    <t>Stream</t>
  </si>
  <si>
    <t>mf</t>
  </si>
  <si>
    <t>ms</t>
  </si>
  <si>
    <t>m1</t>
  </si>
  <si>
    <t>m2</t>
  </si>
  <si>
    <t>m3</t>
  </si>
  <si>
    <t>Pressure / [kPa]</t>
  </si>
  <si>
    <t>Temperature / [°C]</t>
  </si>
  <si>
    <t>Flow rate / [kg / s]</t>
  </si>
  <si>
    <t>Mass frac water</t>
  </si>
  <si>
    <t>Mass frac glycerol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</si>
</sst>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E+00"/>
    <numFmt numFmtId="177" formatCode="0.0_ "/>
    <numFmt numFmtId="178" formatCode="0.00_ "/>
    <numFmt numFmtId="179" formatCode="0_ "/>
    <numFmt numFmtId="180" formatCode="0.???"/>
    <numFmt numFmtId="181" formatCode="0.?"/>
  </numFmts>
  <fonts count="9"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9"/>
      <color indexed="81"/>
      <name val="MS P ゴシック"/>
      <family val="3"/>
      <charset val="128"/>
    </font>
    <font>
      <sz val="11"/>
      <color indexed="81"/>
      <name val="Arial"/>
      <family val="2"/>
    </font>
    <font>
      <sz val="9"/>
      <name val="Arial"/>
      <family val="2"/>
    </font>
    <font>
      <sz val="9"/>
      <name val="ＭＳ Ｐゴシック"/>
      <family val="3"/>
      <charset val="128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11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1" fontId="3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0" fontId="1" fillId="0" borderId="0" xfId="0" applyNumberFormat="1" applyFont="1">
      <alignment vertical="center"/>
    </xf>
    <xf numFmtId="0" fontId="1" fillId="0" borderId="0" xfId="0" quotePrefix="1" applyFont="1">
      <alignment vertical="center"/>
    </xf>
    <xf numFmtId="0" fontId="6" fillId="0" borderId="0" xfId="0" applyFont="1">
      <alignment vertical="center"/>
    </xf>
    <xf numFmtId="176" fontId="3" fillId="0" borderId="0" xfId="0" applyNumberFormat="1" applyFont="1">
      <alignment vertical="center"/>
    </xf>
    <xf numFmtId="0" fontId="6" fillId="0" borderId="0" xfId="0" quotePrefix="1" applyFont="1">
      <alignment vertical="center"/>
    </xf>
    <xf numFmtId="0" fontId="7" fillId="0" borderId="0" xfId="0" applyFont="1">
      <alignment vertical="center"/>
    </xf>
    <xf numFmtId="11" fontId="7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181" fontId="3" fillId="0" borderId="1" xfId="0" applyNumberFormat="1" applyFont="1" applyBorder="1">
      <alignment vertical="center"/>
    </xf>
    <xf numFmtId="180" fontId="3" fillId="0" borderId="1" xfId="0" applyNumberFormat="1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181" fontId="3" fillId="0" borderId="6" xfId="0" applyNumberFormat="1" applyFont="1" applyBorder="1">
      <alignment vertical="center"/>
    </xf>
    <xf numFmtId="180" fontId="3" fillId="0" borderId="6" xfId="0" applyNumberFormat="1" applyFont="1" applyBorder="1">
      <alignment vertical="center"/>
    </xf>
    <xf numFmtId="0" fontId="3" fillId="0" borderId="7" xfId="0" applyFont="1" applyBorder="1">
      <alignment vertical="center"/>
    </xf>
    <xf numFmtId="180" fontId="3" fillId="0" borderId="8" xfId="0" applyNumberFormat="1" applyFont="1" applyBorder="1">
      <alignment vertical="center"/>
    </xf>
    <xf numFmtId="180" fontId="3" fillId="0" borderId="9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5"/>
  <sheetViews>
    <sheetView zoomScale="124" zoomScaleNormal="124" workbookViewId="0">
      <selection activeCell="H13" sqref="H13"/>
    </sheetView>
  </sheetViews>
  <sheetFormatPr defaultColWidth="9.140625" defaultRowHeight="13.2"/>
  <cols>
    <col min="1" max="1" width="17.28515625" style="1" customWidth="1"/>
    <col min="2" max="2" width="12.7109375" style="1" customWidth="1"/>
    <col min="3" max="3" width="9" style="1" customWidth="1"/>
    <col min="4" max="4" width="16.140625" style="1" customWidth="1"/>
    <col min="5" max="5" width="10.42578125" style="1" customWidth="1"/>
    <col min="6" max="6" width="4" style="1" customWidth="1"/>
    <col min="7" max="7" width="1.7109375" style="1" customWidth="1"/>
    <col min="8" max="8" width="11.7109375" style="1" customWidth="1"/>
    <col min="9" max="9" width="10" style="1" bestFit="1" customWidth="1"/>
    <col min="10" max="10" width="9.140625" style="1"/>
    <col min="11" max="11" width="11.85546875" style="1" bestFit="1" customWidth="1"/>
    <col min="12" max="12" width="14.42578125" style="1" bestFit="1" customWidth="1"/>
    <col min="13" max="13" width="12.42578125" style="1" bestFit="1" customWidth="1"/>
    <col min="14" max="16" width="9.140625" style="1"/>
    <col min="17" max="17" width="14.42578125" style="1" bestFit="1" customWidth="1"/>
    <col min="18" max="16384" width="9.140625" style="1"/>
  </cols>
  <sheetData>
    <row r="1" spans="1:17" ht="13.8">
      <c r="A1" s="1" t="s">
        <v>36</v>
      </c>
      <c r="B1" s="4"/>
      <c r="C1" s="4"/>
      <c r="D1" s="1" t="s">
        <v>37</v>
      </c>
      <c r="E1" s="4"/>
      <c r="F1" s="4"/>
      <c r="G1" s="4"/>
      <c r="H1" s="1" t="s">
        <v>62</v>
      </c>
      <c r="M1" s="8"/>
      <c r="Q1" s="8"/>
    </row>
    <row r="2" spans="1:17" ht="13.8">
      <c r="A2" s="5" t="s">
        <v>53</v>
      </c>
      <c r="B2" s="6">
        <v>2210000</v>
      </c>
      <c r="C2" s="12" t="s">
        <v>12</v>
      </c>
      <c r="D2" s="5" t="s">
        <v>38</v>
      </c>
      <c r="E2" s="7">
        <v>56.391020403384076</v>
      </c>
      <c r="F2" s="12" t="s">
        <v>17</v>
      </c>
      <c r="G2" s="4"/>
      <c r="H2" s="13">
        <f>(B9*E5)/(B8*B7)-1</f>
        <v>-8.9699543038834761E-6</v>
      </c>
      <c r="I2" s="14" t="s">
        <v>46</v>
      </c>
      <c r="L2" s="10"/>
      <c r="M2" s="8"/>
      <c r="P2" s="9"/>
      <c r="Q2" s="8"/>
    </row>
    <row r="3" spans="1:17" ht="13.8">
      <c r="A3" s="5" t="s">
        <v>54</v>
      </c>
      <c r="B3" s="4">
        <v>3830</v>
      </c>
      <c r="C3" s="12" t="s">
        <v>6</v>
      </c>
      <c r="D3" s="5" t="s">
        <v>39</v>
      </c>
      <c r="E3" s="7">
        <v>4.3489415904052784</v>
      </c>
      <c r="F3" s="12" t="s">
        <v>21</v>
      </c>
      <c r="G3" s="4"/>
      <c r="H3" s="13">
        <f>((B7-E3)*B2+B3*(E3*E7-B7*B10))/(E6*B2)-1</f>
        <v>-1.3402538526330332E-5</v>
      </c>
      <c r="I3" s="14" t="s">
        <v>47</v>
      </c>
      <c r="L3" s="10"/>
      <c r="M3" s="8"/>
      <c r="Q3" s="8"/>
    </row>
    <row r="4" spans="1:17" ht="13.8">
      <c r="A4" s="5" t="s">
        <v>55</v>
      </c>
      <c r="B4" s="4">
        <v>1986</v>
      </c>
      <c r="C4" s="12" t="s">
        <v>13</v>
      </c>
      <c r="D4" s="5" t="s">
        <v>17</v>
      </c>
      <c r="E4" s="7">
        <v>2.8020543868444703</v>
      </c>
      <c r="F4" s="12" t="s">
        <v>21</v>
      </c>
      <c r="G4" s="4"/>
      <c r="H4" s="13">
        <f>((E3-E4)*B2+B3*(E4*E8-E3*E7))/((B7-E3)*B2)-1</f>
        <v>-1.4602691079779184E-5</v>
      </c>
      <c r="I4" s="14" t="s">
        <v>48</v>
      </c>
      <c r="L4" s="10"/>
    </row>
    <row r="5" spans="1:17" ht="13.8">
      <c r="A5" s="5" t="s">
        <v>14</v>
      </c>
      <c r="B5" s="4">
        <v>2384</v>
      </c>
      <c r="C5" s="12" t="s">
        <v>8</v>
      </c>
      <c r="D5" s="5" t="s">
        <v>18</v>
      </c>
      <c r="E5" s="7">
        <v>0.98665781631175353</v>
      </c>
      <c r="F5" s="12" t="s">
        <v>21</v>
      </c>
      <c r="G5" s="4"/>
      <c r="H5" s="13">
        <f>((E4-E5)*B2+B3*(E5*B11-E4*E8))/((E3-E4)*B2)-1</f>
        <v>-2.2137785373743668E-6</v>
      </c>
      <c r="I5" s="14" t="s">
        <v>49</v>
      </c>
      <c r="L5" s="10"/>
    </row>
    <row r="6" spans="1:17" ht="13.8">
      <c r="A6" s="5" t="s">
        <v>15</v>
      </c>
      <c r="B6" s="4">
        <v>2781</v>
      </c>
      <c r="C6" s="12" t="s">
        <v>8</v>
      </c>
      <c r="D6" s="5" t="s">
        <v>20</v>
      </c>
      <c r="E6" s="7">
        <v>1.4065712499538157</v>
      </c>
      <c r="F6" s="12" t="s">
        <v>21</v>
      </c>
      <c r="G6" s="4"/>
      <c r="H6" s="13">
        <f>B4*E2*(B12-E7)/(E6*B2)-1</f>
        <v>5.3365043255482192E-6</v>
      </c>
      <c r="I6" s="14" t="s">
        <v>50</v>
      </c>
    </row>
    <row r="7" spans="1:17" ht="13.8">
      <c r="A7" s="5" t="s">
        <v>56</v>
      </c>
      <c r="B7" s="4">
        <v>5.55</v>
      </c>
      <c r="C7" s="12" t="s">
        <v>16</v>
      </c>
      <c r="D7" s="5" t="s">
        <v>40</v>
      </c>
      <c r="E7" s="7">
        <v>93.243344825433056</v>
      </c>
      <c r="F7" s="12" t="s">
        <v>29</v>
      </c>
      <c r="G7" s="4"/>
      <c r="H7" s="13">
        <f>B5*E2*(E7-E8)/((B7-E3)*B2)-1</f>
        <v>2.1353097254817044E-6</v>
      </c>
      <c r="I7" s="14" t="s">
        <v>51</v>
      </c>
    </row>
    <row r="8" spans="1:17" ht="13.8">
      <c r="A8" s="5" t="s">
        <v>57</v>
      </c>
      <c r="B8" s="4">
        <v>0.08</v>
      </c>
      <c r="C8" s="12" t="s">
        <v>30</v>
      </c>
      <c r="D8" s="5" t="s">
        <v>19</v>
      </c>
      <c r="E8" s="7">
        <v>73.499072833772232</v>
      </c>
      <c r="F8" s="12" t="s">
        <v>29</v>
      </c>
      <c r="G8" s="4"/>
      <c r="H8" s="13">
        <f>B6*E2*(E8-B11)/((E3-E4)*B2)-1</f>
        <v>-4.5037121959579096E-6</v>
      </c>
      <c r="I8" s="14" t="s">
        <v>52</v>
      </c>
    </row>
    <row r="9" spans="1:17" ht="13.8">
      <c r="A9" s="5" t="s">
        <v>58</v>
      </c>
      <c r="B9" s="4">
        <v>0.45</v>
      </c>
      <c r="C9" s="12" t="s">
        <v>30</v>
      </c>
      <c r="D9" s="4"/>
      <c r="E9" s="4"/>
      <c r="F9" s="4"/>
      <c r="G9" s="4"/>
      <c r="H9" s="13">
        <f>SUMSQ(H2:H8)</f>
        <v>5.3154877093188016E-10</v>
      </c>
    </row>
    <row r="10" spans="1:17" ht="13.8">
      <c r="A10" s="5" t="s">
        <v>59</v>
      </c>
      <c r="B10" s="4">
        <v>51.7</v>
      </c>
      <c r="C10" s="12" t="s">
        <v>29</v>
      </c>
      <c r="D10" s="4"/>
      <c r="E10" s="4"/>
      <c r="F10" s="4"/>
      <c r="G10" s="4"/>
      <c r="H10" s="4"/>
    </row>
    <row r="11" spans="1:17" ht="13.8">
      <c r="A11" s="5" t="s">
        <v>60</v>
      </c>
      <c r="B11" s="4">
        <v>51.7</v>
      </c>
      <c r="C11" s="12" t="s">
        <v>29</v>
      </c>
      <c r="D11" s="4"/>
      <c r="E11" s="7"/>
      <c r="F11" s="4"/>
      <c r="G11" s="4"/>
      <c r="H11" s="4"/>
      <c r="I11" s="7"/>
    </row>
    <row r="12" spans="1:17" ht="13.8">
      <c r="A12" s="5" t="s">
        <v>61</v>
      </c>
      <c r="B12" s="4">
        <v>121</v>
      </c>
      <c r="C12" s="12" t="s">
        <v>29</v>
      </c>
      <c r="D12" s="4"/>
      <c r="E12" s="7"/>
      <c r="F12" s="4"/>
      <c r="G12" s="4"/>
      <c r="H12" s="4"/>
      <c r="I12" s="7"/>
    </row>
    <row r="13" spans="1:17">
      <c r="E13" s="9"/>
      <c r="I13" s="9"/>
      <c r="K13" s="2"/>
    </row>
    <row r="14" spans="1:17">
      <c r="B14" s="9"/>
    </row>
    <row r="18" spans="3:8">
      <c r="C18" s="16"/>
      <c r="D18" s="2"/>
      <c r="E18" s="10"/>
    </row>
    <row r="19" spans="3:8">
      <c r="C19" s="16"/>
      <c r="D19" s="2"/>
      <c r="E19" s="10"/>
    </row>
    <row r="20" spans="3:8">
      <c r="C20" s="16"/>
      <c r="D20" s="2"/>
      <c r="E20" s="10"/>
    </row>
    <row r="21" spans="3:8">
      <c r="C21" s="16"/>
      <c r="D21" s="16"/>
      <c r="E21" s="15"/>
      <c r="H21" s="15"/>
    </row>
    <row r="36" spans="2:3">
      <c r="C36" s="11"/>
    </row>
    <row r="45" spans="2:3">
      <c r="B45" s="3"/>
    </row>
  </sheetData>
  <phoneticPr fontId="2"/>
  <pageMargins left="0.75" right="0.75" top="1" bottom="1" header="0.51200000000000001" footer="0.51200000000000001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5"/>
  <sheetViews>
    <sheetView zoomScale="124" zoomScaleNormal="124" workbookViewId="0">
      <selection activeCell="M11" sqref="M11"/>
    </sheetView>
  </sheetViews>
  <sheetFormatPr defaultColWidth="9.140625" defaultRowHeight="13.2"/>
  <cols>
    <col min="1" max="1" width="17.28515625" style="1" customWidth="1"/>
    <col min="2" max="2" width="11.7109375" style="1" customWidth="1"/>
    <col min="3" max="3" width="9" style="1" customWidth="1"/>
    <col min="4" max="4" width="16.140625" style="1" customWidth="1"/>
    <col min="5" max="5" width="7.7109375" style="1" customWidth="1"/>
    <col min="6" max="6" width="4" style="1" customWidth="1"/>
    <col min="7" max="7" width="1.7109375" style="1" customWidth="1"/>
    <col min="8" max="8" width="11.7109375" style="1" customWidth="1"/>
    <col min="9" max="9" width="10" style="1" bestFit="1" customWidth="1"/>
    <col min="10" max="10" width="9.140625" style="1"/>
    <col min="11" max="11" width="11.85546875" style="1" bestFit="1" customWidth="1"/>
    <col min="12" max="12" width="14.42578125" style="1" bestFit="1" customWidth="1"/>
    <col min="13" max="13" width="12.42578125" style="1" bestFit="1" customWidth="1"/>
    <col min="14" max="16" width="9.140625" style="1"/>
    <col min="17" max="17" width="14.42578125" style="1" bestFit="1" customWidth="1"/>
    <col min="18" max="16384" width="9.140625" style="1"/>
  </cols>
  <sheetData>
    <row r="1" spans="1:17" ht="13.8">
      <c r="A1" s="1" t="s">
        <v>36</v>
      </c>
      <c r="B1" s="4"/>
      <c r="C1" s="4"/>
      <c r="D1" s="1" t="s">
        <v>37</v>
      </c>
      <c r="E1" s="4"/>
      <c r="F1" s="4"/>
      <c r="G1" s="4"/>
      <c r="H1" s="1" t="s">
        <v>62</v>
      </c>
      <c r="K1" s="1" t="s">
        <v>45</v>
      </c>
      <c r="L1" s="1" t="s">
        <v>64</v>
      </c>
      <c r="M1" s="8"/>
      <c r="Q1" s="8"/>
    </row>
    <row r="2" spans="1:17" ht="13.8">
      <c r="A2" s="5" t="s">
        <v>53</v>
      </c>
      <c r="B2" s="6">
        <v>2610000</v>
      </c>
      <c r="C2" s="12" t="s">
        <v>12</v>
      </c>
      <c r="D2" s="5" t="s">
        <v>38</v>
      </c>
      <c r="E2" s="7">
        <v>67.633048700873289</v>
      </c>
      <c r="F2" s="12" t="s">
        <v>17</v>
      </c>
      <c r="G2" s="4"/>
      <c r="H2" s="13">
        <f>(B9*E5)/(B8*B7)-1</f>
        <v>-9.3674518547581798E-6</v>
      </c>
      <c r="I2" s="14" t="s">
        <v>46</v>
      </c>
      <c r="L2" s="10">
        <v>4028</v>
      </c>
      <c r="M2" s="8"/>
      <c r="P2" s="9"/>
      <c r="Q2" s="8"/>
    </row>
    <row r="3" spans="1:17" ht="13.8">
      <c r="A3" s="5" t="s">
        <v>54</v>
      </c>
      <c r="B3" s="4">
        <v>3830</v>
      </c>
      <c r="C3" s="12" t="s">
        <v>6</v>
      </c>
      <c r="D3" s="5" t="s">
        <v>39</v>
      </c>
      <c r="E3" s="7">
        <v>4.2981906936189604</v>
      </c>
      <c r="F3" s="12" t="s">
        <v>21</v>
      </c>
      <c r="G3" s="4"/>
      <c r="H3" s="13">
        <f>((B7-E3)*B2+B3*(E3*E7-B7*B10))/(E6*B2)-1</f>
        <v>8.2578953930489973E-6</v>
      </c>
      <c r="I3" s="14" t="s">
        <v>47</v>
      </c>
      <c r="K3" s="1">
        <v>4.03</v>
      </c>
      <c r="L3" s="10">
        <v>4180</v>
      </c>
      <c r="M3" s="8"/>
      <c r="Q3" s="8"/>
    </row>
    <row r="4" spans="1:17" ht="13.8">
      <c r="A4" s="5" t="s">
        <v>55</v>
      </c>
      <c r="B4" s="4">
        <v>1986</v>
      </c>
      <c r="C4" s="12" t="s">
        <v>13</v>
      </c>
      <c r="D4" s="5" t="s">
        <v>17</v>
      </c>
      <c r="E4" s="7">
        <v>2.7527149164761369</v>
      </c>
      <c r="F4" s="12" t="s">
        <v>21</v>
      </c>
      <c r="G4" s="4"/>
      <c r="H4" s="13">
        <f>((E3-E4)*B2+B3*(E4*E8-E3*E7))/((B7-E3)*B2)-1</f>
        <v>-2.1273759463813491E-5</v>
      </c>
      <c r="I4" s="14" t="s">
        <v>48</v>
      </c>
      <c r="K4" s="1">
        <v>2.5</v>
      </c>
      <c r="L4" s="10">
        <v>3922</v>
      </c>
    </row>
    <row r="5" spans="1:17" ht="13.8">
      <c r="A5" s="5" t="s">
        <v>14</v>
      </c>
      <c r="B5" s="4">
        <v>2384</v>
      </c>
      <c r="C5" s="12" t="s">
        <v>8</v>
      </c>
      <c r="D5" s="5" t="s">
        <v>18</v>
      </c>
      <c r="E5" s="7">
        <v>0.98665742411417001</v>
      </c>
      <c r="F5" s="12" t="s">
        <v>21</v>
      </c>
      <c r="G5" s="4"/>
      <c r="H5" s="13">
        <f>((E4-E5)*B2+B3*(E5*B11-E4*E8))/((E3-E4)*B2)-1</f>
        <v>-1.9468356810770082E-5</v>
      </c>
      <c r="I5" s="14" t="s">
        <v>49</v>
      </c>
      <c r="K5" s="1">
        <v>0.98</v>
      </c>
      <c r="L5" s="10">
        <v>3192</v>
      </c>
    </row>
    <row r="6" spans="1:17" ht="13.8">
      <c r="A6" s="5" t="s">
        <v>15</v>
      </c>
      <c r="B6" s="4">
        <v>2781</v>
      </c>
      <c r="C6" s="12" t="s">
        <v>8</v>
      </c>
      <c r="D6" s="5" t="s">
        <v>20</v>
      </c>
      <c r="E6" s="7">
        <v>1.4198986438680263</v>
      </c>
      <c r="F6" s="12" t="s">
        <v>21</v>
      </c>
      <c r="G6" s="4"/>
      <c r="H6" s="13">
        <f>B4*E2*(B12-E7)/(E6*B2)-1</f>
        <v>1.9510339429817947E-5</v>
      </c>
      <c r="I6" s="14" t="s">
        <v>50</v>
      </c>
      <c r="K6" s="1">
        <v>1.89</v>
      </c>
      <c r="L6" s="1">
        <f>AVERAGE(L2:L5)</f>
        <v>3830.5</v>
      </c>
    </row>
    <row r="7" spans="1:17" ht="13.8">
      <c r="A7" s="5" t="s">
        <v>56</v>
      </c>
      <c r="B7" s="4">
        <v>5.55</v>
      </c>
      <c r="C7" s="12" t="s">
        <v>16</v>
      </c>
      <c r="D7" s="5" t="s">
        <v>40</v>
      </c>
      <c r="E7" s="7">
        <v>93.40895712157986</v>
      </c>
      <c r="F7" s="12" t="s">
        <v>29</v>
      </c>
      <c r="G7" s="4"/>
      <c r="H7" s="13">
        <f>B5*E2*(E7-E8)/((B7-E3)*B2)-1</f>
        <v>-1.1122946955710589E-6</v>
      </c>
      <c r="I7" s="14" t="s">
        <v>51</v>
      </c>
    </row>
    <row r="8" spans="1:17" ht="13.8">
      <c r="A8" s="5" t="s">
        <v>57</v>
      </c>
      <c r="B8" s="4">
        <v>0.08</v>
      </c>
      <c r="C8" s="12" t="s">
        <v>30</v>
      </c>
      <c r="D8" s="5" t="s">
        <v>19</v>
      </c>
      <c r="E8" s="7">
        <v>73.145525998880359</v>
      </c>
      <c r="F8" s="12" t="s">
        <v>29</v>
      </c>
      <c r="G8" s="4"/>
      <c r="H8" s="13">
        <f>B6*E2*(E8-B11)/((E3-E4)*B2)-1</f>
        <v>-1.3939114039684952E-5</v>
      </c>
      <c r="I8" s="14" t="s">
        <v>52</v>
      </c>
      <c r="L8" s="1" t="s">
        <v>65</v>
      </c>
      <c r="M8" s="1">
        <f>(5.55-0.98)/1.605</f>
        <v>2.8473520249221185</v>
      </c>
    </row>
    <row r="9" spans="1:17" ht="13.8">
      <c r="A9" s="5" t="s">
        <v>58</v>
      </c>
      <c r="B9" s="4">
        <v>0.45</v>
      </c>
      <c r="C9" s="12" t="s">
        <v>30</v>
      </c>
      <c r="D9" s="4"/>
      <c r="E9" s="4"/>
      <c r="F9" s="4"/>
      <c r="G9" s="4"/>
      <c r="H9" s="13">
        <f>SUMSQ(H2:H8)</f>
        <v>1.5637211935772507E-9</v>
      </c>
    </row>
    <row r="10" spans="1:17" ht="13.8">
      <c r="A10" s="5" t="s">
        <v>59</v>
      </c>
      <c r="B10" s="4">
        <v>51.7</v>
      </c>
      <c r="C10" s="12" t="s">
        <v>29</v>
      </c>
      <c r="D10" s="4"/>
      <c r="E10" s="4"/>
      <c r="F10" s="4"/>
      <c r="G10" s="4"/>
      <c r="H10" s="4"/>
    </row>
    <row r="11" spans="1:17" ht="13.8">
      <c r="A11" s="5" t="s">
        <v>60</v>
      </c>
      <c r="B11" s="4">
        <v>51.7</v>
      </c>
      <c r="C11" s="12" t="s">
        <v>29</v>
      </c>
      <c r="D11" s="4"/>
      <c r="E11" s="7"/>
      <c r="F11" s="4"/>
      <c r="G11" s="4"/>
      <c r="H11" s="4"/>
      <c r="I11" s="7">
        <f>B7-E3</f>
        <v>1.2518093063810394</v>
      </c>
      <c r="K11" s="1">
        <f>B7-K3</f>
        <v>1.5199999999999996</v>
      </c>
    </row>
    <row r="12" spans="1:17" ht="13.8">
      <c r="A12" s="5" t="s">
        <v>61</v>
      </c>
      <c r="B12" s="4">
        <v>121</v>
      </c>
      <c r="C12" s="12" t="s">
        <v>29</v>
      </c>
      <c r="D12" s="4"/>
      <c r="E12" s="7"/>
      <c r="F12" s="4"/>
      <c r="G12" s="4"/>
      <c r="H12" s="4"/>
      <c r="I12" s="7">
        <f>E3-E4</f>
        <v>1.5454757771428236</v>
      </c>
      <c r="K12" s="1">
        <f>K3-K4</f>
        <v>1.5300000000000002</v>
      </c>
    </row>
    <row r="13" spans="1:17">
      <c r="E13" s="9"/>
      <c r="I13" s="9">
        <f>E4-E5</f>
        <v>1.7660574923619667</v>
      </c>
      <c r="K13" s="2">
        <f>K4-K5</f>
        <v>1.52</v>
      </c>
    </row>
    <row r="14" spans="1:17">
      <c r="A14" s="1" t="s">
        <v>63</v>
      </c>
      <c r="B14" s="9">
        <f>(B7-E5)/E6</f>
        <v>3.213850929144189</v>
      </c>
    </row>
    <row r="16" spans="1:17">
      <c r="B16" s="1" t="s">
        <v>45</v>
      </c>
      <c r="D16" s="1" t="s">
        <v>28</v>
      </c>
      <c r="H16" s="1" t="s">
        <v>35</v>
      </c>
    </row>
    <row r="17" spans="1:9">
      <c r="B17" s="1" t="s">
        <v>26</v>
      </c>
      <c r="C17" s="1" t="s">
        <v>27</v>
      </c>
      <c r="E17" s="1" t="s">
        <v>31</v>
      </c>
      <c r="H17" s="1" t="s">
        <v>33</v>
      </c>
      <c r="I17" s="1" t="s">
        <v>34</v>
      </c>
    </row>
    <row r="18" spans="1:9">
      <c r="A18" s="1" t="s">
        <v>23</v>
      </c>
      <c r="B18" s="1">
        <v>14260000</v>
      </c>
      <c r="C18" s="16">
        <f>B18*(1/0.0009478)*(1/3600)</f>
        <v>4179268.9503176948</v>
      </c>
      <c r="D18" s="2">
        <f>E6*B2</f>
        <v>3705935.4604955488</v>
      </c>
      <c r="E18" s="10">
        <f>D18/$B$2</f>
        <v>1.4198986438680263</v>
      </c>
      <c r="G18" s="1" t="s">
        <v>41</v>
      </c>
      <c r="H18" s="1">
        <v>4.0599999999999996</v>
      </c>
      <c r="I18" s="1">
        <f>H18*1000000/B4/(B12-E7)</f>
        <v>74.093254836601716</v>
      </c>
    </row>
    <row r="19" spans="1:9">
      <c r="A19" s="1" t="s">
        <v>24</v>
      </c>
      <c r="B19" s="1">
        <v>11070000</v>
      </c>
      <c r="C19" s="16">
        <f t="shared" ref="C19:C20" si="0">B19*(1/0.0009478)*(1/3600)</f>
        <v>3244355.3492297949</v>
      </c>
      <c r="D19" s="2">
        <f>(B7-E3)*B2</f>
        <v>3267222.2896545129</v>
      </c>
      <c r="E19" s="10">
        <f t="shared" ref="E19:E20" si="1">D19/$B$2</f>
        <v>1.2518093063810394</v>
      </c>
      <c r="G19" s="1" t="s">
        <v>42</v>
      </c>
      <c r="H19" s="1">
        <v>3.24</v>
      </c>
      <c r="I19" s="1">
        <f>H19*1000000/B5/(E7-E8)</f>
        <v>67.069609014147517</v>
      </c>
    </row>
    <row r="20" spans="1:9">
      <c r="A20" s="1" t="s">
        <v>25</v>
      </c>
      <c r="B20" s="1">
        <v>12400000</v>
      </c>
      <c r="C20" s="16">
        <f t="shared" si="0"/>
        <v>3634146.9133197344</v>
      </c>
      <c r="D20" s="2">
        <f>(E4-E5)*B2</f>
        <v>4609410.0550647331</v>
      </c>
      <c r="E20" s="10">
        <f t="shared" si="1"/>
        <v>1.7660574923619667</v>
      </c>
      <c r="G20" s="1" t="s">
        <v>43</v>
      </c>
      <c r="H20" s="1">
        <v>3.72</v>
      </c>
      <c r="I20" s="1">
        <f>H20*1000000/B6/(E8-B11)</f>
        <v>62.374237312221993</v>
      </c>
    </row>
    <row r="21" spans="1:9">
      <c r="C21" s="16">
        <f>SUM(C18:C20)</f>
        <v>11057771.212867225</v>
      </c>
      <c r="D21" s="16">
        <f>SUM(D18:D20)</f>
        <v>11582567.805214796</v>
      </c>
      <c r="E21" s="15">
        <f>SUM(E18:E20)</f>
        <v>4.4377654426110329</v>
      </c>
      <c r="H21" s="15">
        <f>SUM(H18:H20)</f>
        <v>11.02</v>
      </c>
    </row>
    <row r="22" spans="1:9">
      <c r="A22" s="1" t="s">
        <v>44</v>
      </c>
    </row>
    <row r="23" spans="1:9">
      <c r="A23" s="1" t="s">
        <v>0</v>
      </c>
      <c r="B23" s="1" t="s">
        <v>9</v>
      </c>
    </row>
    <row r="24" spans="1:9">
      <c r="A24" s="1">
        <v>32006</v>
      </c>
      <c r="B24" s="1">
        <f>(1/2.205)*(1/3600)*A24</f>
        <v>4.0319979843789362</v>
      </c>
    </row>
    <row r="26" spans="1:9">
      <c r="A26" s="1" t="s">
        <v>1</v>
      </c>
      <c r="B26" s="1" t="s">
        <v>2</v>
      </c>
    </row>
    <row r="27" spans="1:9">
      <c r="A27" s="1">
        <v>124</v>
      </c>
      <c r="B27" s="1">
        <f>(A27+40)/1.8-40</f>
        <v>51.111111111111114</v>
      </c>
    </row>
    <row r="29" spans="1:9">
      <c r="A29" s="1" t="s">
        <v>3</v>
      </c>
      <c r="B29" s="1" t="s">
        <v>4</v>
      </c>
    </row>
    <row r="30" spans="1:9">
      <c r="A30" s="1">
        <v>29.3</v>
      </c>
      <c r="B30" s="1">
        <v>202</v>
      </c>
    </row>
    <row r="31" spans="1:9">
      <c r="A31" s="1">
        <v>1.94</v>
      </c>
      <c r="B31" s="1">
        <v>13.4</v>
      </c>
    </row>
    <row r="33" spans="1:4">
      <c r="A33" s="1" t="s">
        <v>5</v>
      </c>
      <c r="B33" s="1" t="s">
        <v>6</v>
      </c>
    </row>
    <row r="34" spans="1:4">
      <c r="A34" s="1">
        <v>0.48</v>
      </c>
      <c r="B34" s="1">
        <f>A34*(1/0.0009478)*(2.205/1)*(1.8/1)</f>
        <v>2010.0443131462334</v>
      </c>
    </row>
    <row r="36" spans="1:4">
      <c r="A36" s="1" t="s">
        <v>7</v>
      </c>
      <c r="B36" s="1" t="s">
        <v>8</v>
      </c>
      <c r="C36" s="11" t="s">
        <v>32</v>
      </c>
    </row>
    <row r="37" spans="1:4">
      <c r="A37" s="1">
        <v>350</v>
      </c>
      <c r="B37" s="1">
        <f>A37*(1/0.0009478)*(1/3600)*(3.28/1)^2*(1.8/1)</f>
        <v>1986.4106351550956</v>
      </c>
      <c r="C37" s="1">
        <f>B37*$E$2</f>
        <v>134347.00722737724</v>
      </c>
      <c r="D37" s="1">
        <f>C37/1000000</f>
        <v>0.13434700722737725</v>
      </c>
    </row>
    <row r="38" spans="1:4">
      <c r="A38" s="1">
        <v>420</v>
      </c>
      <c r="B38" s="1">
        <f>A38*(1/0.0009478)*(1/3600)*(3.28/1)^2*(1.8/1)</f>
        <v>2383.692762186115</v>
      </c>
      <c r="C38" s="1">
        <f t="shared" ref="C38:C39" si="2">B38*$E$2</f>
        <v>161216.40867285267</v>
      </c>
      <c r="D38" s="1">
        <f t="shared" ref="D38:D39" si="3">C38/1000000</f>
        <v>0.16121640867285267</v>
      </c>
    </row>
    <row r="39" spans="1:4">
      <c r="A39" s="1">
        <v>490</v>
      </c>
      <c r="B39" s="1">
        <f>A39*(1/0.0009478)*(1/3600)*(3.28/1)^2*(1.8/1)</f>
        <v>2780.9748892171338</v>
      </c>
      <c r="C39" s="1">
        <f t="shared" si="2"/>
        <v>188085.81011832811</v>
      </c>
      <c r="D39" s="1">
        <f t="shared" si="3"/>
        <v>0.18808581011832812</v>
      </c>
    </row>
    <row r="41" spans="1:4">
      <c r="A41" s="1" t="s">
        <v>10</v>
      </c>
      <c r="B41" s="1" t="s">
        <v>11</v>
      </c>
    </row>
    <row r="42" spans="1:4">
      <c r="A42" s="1">
        <v>1130</v>
      </c>
      <c r="B42" s="1">
        <f>A42*(1/0.0009478)*(1/0.4536)</f>
        <v>2628383.2642417434</v>
      </c>
    </row>
    <row r="44" spans="1:4">
      <c r="A44" s="1" t="s">
        <v>22</v>
      </c>
      <c r="B44" s="1" t="s">
        <v>17</v>
      </c>
    </row>
    <row r="45" spans="1:4">
      <c r="A45" s="1">
        <v>738</v>
      </c>
      <c r="B45" s="3">
        <f>A45*(1/3.28)^2</f>
        <v>68.597560975609753</v>
      </c>
    </row>
  </sheetData>
  <phoneticPr fontId="2"/>
  <pageMargins left="0.75" right="0.75" top="1" bottom="1" header="0.51200000000000001" footer="0.51200000000000001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"/>
  <sheetViews>
    <sheetView tabSelected="1" workbookViewId="0">
      <selection activeCell="B14" sqref="B14"/>
    </sheetView>
  </sheetViews>
  <sheetFormatPr defaultRowHeight="13.8"/>
  <cols>
    <col min="1" max="1" width="9.140625" style="4"/>
    <col min="2" max="2" width="23.5703125" style="4" customWidth="1"/>
    <col min="3" max="3" width="12.42578125" style="4" customWidth="1"/>
    <col min="4" max="4" width="12.140625" style="4" customWidth="1"/>
    <col min="5" max="5" width="12.28515625" style="4" customWidth="1"/>
    <col min="6" max="7" width="12.5703125" style="4" customWidth="1"/>
    <col min="8" max="16384" width="9.140625" style="4"/>
  </cols>
  <sheetData>
    <row r="1" spans="2:7" ht="14.4" thickBot="1"/>
    <row r="2" spans="2:7">
      <c r="B2" s="20" t="s">
        <v>66</v>
      </c>
      <c r="C2" s="21" t="s">
        <v>67</v>
      </c>
      <c r="D2" s="21" t="s">
        <v>68</v>
      </c>
      <c r="E2" s="21" t="s">
        <v>69</v>
      </c>
      <c r="F2" s="21" t="s">
        <v>70</v>
      </c>
      <c r="G2" s="22" t="s">
        <v>71</v>
      </c>
    </row>
    <row r="3" spans="2:7">
      <c r="B3" s="23" t="s">
        <v>72</v>
      </c>
      <c r="C3" s="17">
        <v>101</v>
      </c>
      <c r="D3" s="17">
        <v>202</v>
      </c>
      <c r="E3" s="17">
        <v>71.7</v>
      </c>
      <c r="F3" s="17">
        <v>31.6</v>
      </c>
      <c r="G3" s="24">
        <v>13.4</v>
      </c>
    </row>
    <row r="4" spans="2:7">
      <c r="B4" s="23" t="s">
        <v>73</v>
      </c>
      <c r="C4" s="18">
        <v>51.7</v>
      </c>
      <c r="D4" s="18">
        <v>121</v>
      </c>
      <c r="E4" s="18">
        <v>90.754300000000001</v>
      </c>
      <c r="F4" s="18">
        <v>70.401600000000002</v>
      </c>
      <c r="G4" s="25">
        <v>51.781599999999997</v>
      </c>
    </row>
    <row r="5" spans="2:7">
      <c r="B5" s="23" t="s">
        <v>74</v>
      </c>
      <c r="C5" s="19">
        <v>5.55</v>
      </c>
      <c r="D5" s="19">
        <v>1.6051</v>
      </c>
      <c r="E5" s="19">
        <v>4.1767300000000001</v>
      </c>
      <c r="F5" s="19">
        <v>2.6312899999999999</v>
      </c>
      <c r="G5" s="26">
        <v>0.98243899999999995</v>
      </c>
    </row>
    <row r="6" spans="2:7">
      <c r="B6" s="23" t="s">
        <v>75</v>
      </c>
      <c r="C6" s="19">
        <v>0.92</v>
      </c>
      <c r="D6" s="19">
        <v>1</v>
      </c>
      <c r="E6" s="19">
        <v>0.89394499999999999</v>
      </c>
      <c r="F6" s="19">
        <v>0.83186499999999997</v>
      </c>
      <c r="G6" s="26">
        <v>0.54991000000000001</v>
      </c>
    </row>
    <row r="7" spans="2:7" ht="14.4" thickBot="1">
      <c r="B7" s="27" t="s">
        <v>76</v>
      </c>
      <c r="C7" s="28">
        <v>0.08</v>
      </c>
      <c r="D7" s="28">
        <v>0</v>
      </c>
      <c r="E7" s="28">
        <v>0.106055</v>
      </c>
      <c r="F7" s="28">
        <v>0.16813500000000001</v>
      </c>
      <c r="G7" s="29">
        <v>0.45008999999999999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例題35 多重効用蒸発</vt:lpstr>
      <vt:lpstr>Seader p. 771 ex 17_18</vt:lpstr>
      <vt:lpstr>Stream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aito</dc:creator>
  <cp:lastModifiedBy>itolab200</cp:lastModifiedBy>
  <dcterms:created xsi:type="dcterms:W3CDTF">2005-02-03T04:39:41Z</dcterms:created>
  <dcterms:modified xsi:type="dcterms:W3CDTF">2018-04-22T07:13:26Z</dcterms:modified>
</cp:coreProperties>
</file>