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olab04\Dropbox\2017\COCOChemSepで学ぶ化学工学\fsd&amp;xls\"/>
    </mc:Choice>
  </mc:AlternateContent>
  <bookViews>
    <workbookView xWindow="1308" yWindow="60" windowWidth="24132" windowHeight="13008"/>
  </bookViews>
  <sheets>
    <sheet name="平衡定数アンモニア" sheetId="1" r:id="rId1"/>
    <sheet name="平衡定数メタン改質" sheetId="2" r:id="rId2"/>
    <sheet name="平衡定数水分解" sheetId="3" r:id="rId3"/>
    <sheet name="平衡定数プロパン分解 " sheetId="4" r:id="rId4"/>
  </sheets>
  <definedNames>
    <definedName name="solver_adj" localSheetId="0" hidden="1">平衡定数アンモニア!#REF!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2</definedName>
    <definedName name="solver_opt" localSheetId="0" hidden="1">平衡定数アンモニア!#REF!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62913"/>
</workbook>
</file>

<file path=xl/calcChain.xml><?xml version="1.0" encoding="utf-8"?>
<calcChain xmlns="http://schemas.openxmlformats.org/spreadsheetml/2006/main">
  <c r="G15" i="1" l="1"/>
  <c r="E15" i="1"/>
  <c r="F15" i="1"/>
  <c r="D15" i="1"/>
  <c r="E14" i="1"/>
  <c r="F14" i="1"/>
  <c r="D14" i="1"/>
  <c r="E13" i="1"/>
  <c r="F13" i="1"/>
  <c r="D13" i="1"/>
  <c r="E3" i="1" l="1"/>
  <c r="F3" i="1"/>
  <c r="D3" i="1"/>
  <c r="D4" i="1"/>
  <c r="E4" i="1" s="1"/>
  <c r="C11" i="1"/>
  <c r="D12" i="1" l="1"/>
  <c r="E11" i="1"/>
  <c r="E12" i="1"/>
  <c r="F4" i="1"/>
  <c r="D11" i="1"/>
  <c r="F11" i="1" l="1"/>
  <c r="F12" i="1"/>
  <c r="B109" i="1" l="1"/>
  <c r="B112" i="1"/>
  <c r="P5" i="4"/>
  <c r="P6" i="4"/>
  <c r="P7" i="4"/>
  <c r="P8" i="4"/>
  <c r="P9" i="4"/>
  <c r="P4" i="4"/>
  <c r="V4" i="2"/>
  <c r="V5" i="2"/>
  <c r="V6" i="2"/>
  <c r="V7" i="2"/>
  <c r="V8" i="2"/>
  <c r="V9" i="2"/>
  <c r="V10" i="2"/>
  <c r="V11" i="2"/>
  <c r="V3" i="2"/>
  <c r="D47" i="1"/>
  <c r="N3" i="1"/>
  <c r="N4" i="1"/>
  <c r="N5" i="1"/>
  <c r="N6" i="1"/>
  <c r="N7" i="1"/>
  <c r="N8" i="1"/>
  <c r="N9" i="1"/>
  <c r="N2" i="1"/>
  <c r="B66" i="1"/>
  <c r="B67" i="1"/>
  <c r="B68" i="1"/>
  <c r="B69" i="1"/>
  <c r="B70" i="1"/>
  <c r="B71" i="1"/>
  <c r="B72" i="1"/>
  <c r="B73" i="1"/>
  <c r="B65" i="1"/>
  <c r="C53" i="1"/>
  <c r="B53" i="1"/>
  <c r="D53" i="1" s="1"/>
  <c r="C49" i="1"/>
  <c r="B49" i="1"/>
  <c r="D49" i="1" s="1"/>
  <c r="C50" i="1"/>
  <c r="C51" i="1"/>
  <c r="B51" i="1" s="1"/>
  <c r="D51" i="1" s="1"/>
  <c r="C52" i="1"/>
  <c r="B52" i="1"/>
  <c r="D52" i="1"/>
  <c r="C48" i="1"/>
  <c r="B48" i="1" s="1"/>
  <c r="D48" i="1" s="1"/>
  <c r="B89" i="1"/>
  <c r="B90" i="1"/>
  <c r="B91" i="1"/>
  <c r="B92" i="1"/>
  <c r="B93" i="1"/>
  <c r="B94" i="1"/>
  <c r="B95" i="1"/>
  <c r="B88" i="1"/>
  <c r="D23" i="4"/>
  <c r="F23" i="4"/>
  <c r="F24" i="4" s="1"/>
  <c r="F26" i="4" s="1"/>
  <c r="E23" i="4"/>
  <c r="C23" i="4"/>
  <c r="D24" i="4" s="1"/>
  <c r="D26" i="4" s="1"/>
  <c r="E24" i="4"/>
  <c r="E26" i="4" s="1"/>
  <c r="C10" i="4"/>
  <c r="C9" i="4"/>
  <c r="C8" i="4"/>
  <c r="C7" i="4"/>
  <c r="C12" i="4" s="1"/>
  <c r="C6" i="4"/>
  <c r="C5" i="4"/>
  <c r="U4" i="2"/>
  <c r="U5" i="2"/>
  <c r="U6" i="2"/>
  <c r="U7" i="2"/>
  <c r="U8" i="2"/>
  <c r="U9" i="2"/>
  <c r="U10" i="2"/>
  <c r="U11" i="2"/>
  <c r="U3" i="2"/>
  <c r="B50" i="1"/>
  <c r="D50" i="1" s="1"/>
  <c r="F23" i="3"/>
  <c r="D23" i="3"/>
  <c r="C23" i="3" s="1"/>
  <c r="E23" i="3"/>
  <c r="E24" i="3" s="1"/>
  <c r="E26" i="3" s="1"/>
  <c r="Q4" i="2"/>
  <c r="Q5" i="2"/>
  <c r="Q6" i="2"/>
  <c r="Q7" i="2"/>
  <c r="Q8" i="2"/>
  <c r="Q9" i="2"/>
  <c r="Q10" i="2"/>
  <c r="Q11" i="2"/>
  <c r="Q3" i="2"/>
  <c r="M3" i="1"/>
  <c r="M4" i="1"/>
  <c r="M5" i="1"/>
  <c r="M6" i="1"/>
  <c r="M7" i="1"/>
  <c r="M8" i="1"/>
  <c r="M9" i="1"/>
  <c r="M2" i="1"/>
  <c r="L3" i="1"/>
  <c r="L4" i="1"/>
  <c r="L5" i="1"/>
  <c r="L6" i="1"/>
  <c r="L7" i="1"/>
  <c r="L8" i="1"/>
  <c r="L9" i="1"/>
  <c r="L2" i="1"/>
  <c r="F23" i="2"/>
  <c r="D23" i="2"/>
  <c r="C23" i="2" s="1"/>
  <c r="E23" i="2"/>
  <c r="E24" i="2" s="1"/>
  <c r="E26" i="2" s="1"/>
  <c r="G23" i="2"/>
  <c r="F23" i="1"/>
  <c r="D23" i="1"/>
  <c r="E23" i="1"/>
  <c r="C6" i="2"/>
  <c r="C5" i="2"/>
  <c r="C8" i="2"/>
  <c r="C12" i="2" s="1"/>
  <c r="C14" i="2" s="1"/>
  <c r="C9" i="2"/>
  <c r="C10" i="2"/>
  <c r="C7" i="2"/>
  <c r="C11" i="2" s="1"/>
  <c r="C8" i="3"/>
  <c r="C12" i="3"/>
  <c r="C14" i="3" s="1"/>
  <c r="C9" i="3"/>
  <c r="C10" i="3"/>
  <c r="C7" i="3"/>
  <c r="C11" i="3" s="1"/>
  <c r="C13" i="3" s="1"/>
  <c r="C15" i="3" s="1"/>
  <c r="C17" i="3" s="1"/>
  <c r="C18" i="3" s="1"/>
  <c r="C5" i="3"/>
  <c r="C6" i="3"/>
  <c r="C8" i="1"/>
  <c r="C9" i="1"/>
  <c r="C10" i="1"/>
  <c r="C7" i="1"/>
  <c r="C12" i="1" s="1"/>
  <c r="C14" i="1" s="1"/>
  <c r="C13" i="1"/>
  <c r="C5" i="1"/>
  <c r="C6" i="1"/>
  <c r="C11" i="4"/>
  <c r="C13" i="4" s="1"/>
  <c r="F24" i="3" l="1"/>
  <c r="F26" i="3" s="1"/>
  <c r="G24" i="2"/>
  <c r="G26" i="2" s="1"/>
  <c r="F24" i="2"/>
  <c r="F26" i="2" s="1"/>
  <c r="D24" i="2"/>
  <c r="D26" i="2" s="1"/>
  <c r="C13" i="2"/>
  <c r="C15" i="2" s="1"/>
  <c r="C17" i="2" s="1"/>
  <c r="C18" i="2" s="1"/>
  <c r="C14" i="4"/>
  <c r="C15" i="4" s="1"/>
  <c r="C17" i="4" s="1"/>
  <c r="C18" i="4" s="1"/>
  <c r="C28" i="4" s="1"/>
  <c r="C15" i="1"/>
  <c r="C17" i="1" s="1"/>
  <c r="C18" i="1" s="1"/>
  <c r="D24" i="3"/>
  <c r="D26" i="3" s="1"/>
  <c r="C23" i="1"/>
  <c r="E24" i="1" s="1"/>
  <c r="E26" i="1" s="1"/>
  <c r="C28" i="2" l="1"/>
  <c r="C28" i="3"/>
  <c r="D24" i="1"/>
  <c r="D26" i="1" s="1"/>
  <c r="F24" i="1"/>
  <c r="F26" i="1" s="1"/>
  <c r="C28" i="1" s="1"/>
</calcChain>
</file>

<file path=xl/comments1.xml><?xml version="1.0" encoding="utf-8"?>
<comments xmlns="http://schemas.openxmlformats.org/spreadsheetml/2006/main">
  <authors>
    <author>itolab13</author>
  </authors>
  <commentList>
    <comment ref="C28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=(F26/C27)^(F2)*(D26/C27)^D2*(E26/C27)^E2/C18-1
</t>
        </r>
      </text>
    </comment>
  </commentList>
</comments>
</file>

<file path=xl/comments2.xml><?xml version="1.0" encoding="utf-8"?>
<comments xmlns="http://schemas.openxmlformats.org/spreadsheetml/2006/main">
  <authors>
    <author>itolab13</author>
  </authors>
  <commentList>
    <comment ref="C5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=D2*D5+F2*F5+E2*E5+G2*G5
</t>
        </r>
      </text>
    </comment>
    <comment ref="C6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D2*D6+E2*E6+F2*F6+G2*G6
</t>
        </r>
      </text>
    </comment>
    <comment ref="C7" authorId="0" shapeId="0">
      <text>
        <r>
          <rPr>
            <sz val="11"/>
            <color indexed="81"/>
            <rFont val="ＭＳ Ｐゴシック"/>
            <family val="3"/>
            <charset val="128"/>
          </rPr>
          <t>=D7*D$2+E7*E$2+F7*F$2+G7*G$2</t>
        </r>
      </text>
    </comment>
    <comment ref="C11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=C7*(C4-C3)+(C8/2)*(C4^2-C3^2)+(C9/3)*(C4^3-C3^3)+(C10/4)*(C4^4-C3^4)
</t>
        </r>
      </text>
    </comment>
    <comment ref="C12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=C7*LN(C4/C3)+C8*(C4-C3)+(C9/2)*(C4^2-C3^2)+(C10/3)*(C4^3-C3^3)
</t>
        </r>
      </text>
    </comment>
    <comment ref="C1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=C5+C11/1000
</t>
        </r>
      </text>
    </comment>
    <comment ref="C14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=C6+C12
</t>
        </r>
      </text>
    </comment>
    <comment ref="C15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=C13-C4*C14/1000
</t>
        </r>
      </text>
    </comment>
    <comment ref="C17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=-1*C15*1000/C16/C4
</t>
        </r>
      </text>
    </comment>
    <comment ref="C18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=EXP(C17)
</t>
        </r>
      </text>
    </comment>
    <comment ref="C2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=SUM(D23:G23)
</t>
        </r>
      </text>
    </comment>
    <comment ref="D2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=D21*(1-$C$22)
</t>
        </r>
      </text>
    </comment>
    <comment ref="F2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=F2*C22
</t>
        </r>
      </text>
    </comment>
    <comment ref="D24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=D23/$C$23
</t>
        </r>
      </text>
    </comment>
    <comment ref="D26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=$C$25*D24
</t>
        </r>
      </text>
    </comment>
    <comment ref="C28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=(F26/C27)^(F2)*(D26/C27)^D2*(E26/C27)^E2*(G26/C27)^G2/C18-1
</t>
        </r>
      </text>
    </comment>
  </commentList>
</comments>
</file>

<file path=xl/sharedStrings.xml><?xml version="1.0" encoding="utf-8"?>
<sst xmlns="http://schemas.openxmlformats.org/spreadsheetml/2006/main" count="287" uniqueCount="144">
  <si>
    <t>量論係数ν</t>
    <rPh sb="0" eb="1">
      <t>リョウ</t>
    </rPh>
    <rPh sb="1" eb="2">
      <t>ロン</t>
    </rPh>
    <rPh sb="2" eb="4">
      <t>ケイスウ</t>
    </rPh>
    <phoneticPr fontId="1"/>
  </si>
  <si>
    <t>T0 標準状態</t>
    <rPh sb="3" eb="5">
      <t>ヒョウジュン</t>
    </rPh>
    <rPh sb="5" eb="7">
      <t>ジョウタイ</t>
    </rPh>
    <phoneticPr fontId="1"/>
  </si>
  <si>
    <t>K</t>
    <phoneticPr fontId="1"/>
  </si>
  <si>
    <t>T</t>
    <phoneticPr fontId="1"/>
  </si>
  <si>
    <t>kJ/mol</t>
    <phoneticPr fontId="1"/>
  </si>
  <si>
    <t>J/K-mol</t>
    <phoneticPr fontId="1"/>
  </si>
  <si>
    <t>a</t>
    <phoneticPr fontId="1"/>
  </si>
  <si>
    <t>T in K</t>
    <phoneticPr fontId="1"/>
  </si>
  <si>
    <t>b</t>
    <phoneticPr fontId="1"/>
  </si>
  <si>
    <t xml:space="preserve">c </t>
    <phoneticPr fontId="1"/>
  </si>
  <si>
    <t>d</t>
    <phoneticPr fontId="1"/>
  </si>
  <si>
    <t>∫ΔCpdT</t>
    <phoneticPr fontId="1"/>
  </si>
  <si>
    <t>∫(ΔCp/T)dT</t>
    <phoneticPr fontId="1"/>
  </si>
  <si>
    <t>R</t>
    <phoneticPr fontId="1"/>
  </si>
  <si>
    <t>【平衡定数】</t>
    <rPh sb="1" eb="3">
      <t>ヘイコウ</t>
    </rPh>
    <rPh sb="3" eb="5">
      <t>テイスウ</t>
    </rPh>
    <phoneticPr fontId="1"/>
  </si>
  <si>
    <t>【平衡転化率】</t>
    <rPh sb="1" eb="3">
      <t>ヘイコウ</t>
    </rPh>
    <rPh sb="3" eb="6">
      <t>テンカリツ</t>
    </rPh>
    <phoneticPr fontId="1"/>
  </si>
  <si>
    <t>ΣνX</t>
    <phoneticPr fontId="1"/>
  </si>
  <si>
    <t>N2</t>
    <phoneticPr fontId="1"/>
  </si>
  <si>
    <t>H2</t>
    <phoneticPr fontId="1"/>
  </si>
  <si>
    <t>NH3</t>
    <phoneticPr fontId="1"/>
  </si>
  <si>
    <t>T[K]</t>
    <phoneticPr fontId="1"/>
  </si>
  <si>
    <t>K</t>
    <phoneticPr fontId="1"/>
  </si>
  <si>
    <t>ln K(T)=-ΔGﾟ(T)/RT</t>
    <phoneticPr fontId="1"/>
  </si>
  <si>
    <t>ΣνX</t>
    <phoneticPr fontId="1"/>
  </si>
  <si>
    <t>H2</t>
    <phoneticPr fontId="1"/>
  </si>
  <si>
    <t>O2</t>
    <phoneticPr fontId="1"/>
  </si>
  <si>
    <t>H2O</t>
    <phoneticPr fontId="1"/>
  </si>
  <si>
    <t>原料</t>
    <rPh sb="0" eb="2">
      <t>ゲンリョウ</t>
    </rPh>
    <phoneticPr fontId="1"/>
  </si>
  <si>
    <t>mol</t>
    <phoneticPr fontId="1"/>
  </si>
  <si>
    <t>転化率 x</t>
    <rPh sb="0" eb="2">
      <t>テンカ</t>
    </rPh>
    <rPh sb="2" eb="3">
      <t>リツ</t>
    </rPh>
    <phoneticPr fontId="1"/>
  </si>
  <si>
    <t>モル分率　yi</t>
    <rPh sb="2" eb="4">
      <t>ブンリツ</t>
    </rPh>
    <phoneticPr fontId="1"/>
  </si>
  <si>
    <t>MPa</t>
    <phoneticPr fontId="1"/>
  </si>
  <si>
    <t>分圧　pi</t>
    <rPh sb="0" eb="2">
      <t>ブンアツ</t>
    </rPh>
    <phoneticPr fontId="1"/>
  </si>
  <si>
    <t>方程式　K=Π(pi/P0)^ν</t>
    <rPh sb="0" eb="3">
      <t>ホウテイシキ</t>
    </rPh>
    <phoneticPr fontId="1"/>
  </si>
  <si>
    <t>計算結果のまとめ</t>
    <rPh sb="0" eb="2">
      <t>ケイサン</t>
    </rPh>
    <rPh sb="2" eb="4">
      <t>ケッカ</t>
    </rPh>
    <phoneticPr fontId="1"/>
  </si>
  <si>
    <t>圧力{MPa]</t>
    <rPh sb="0" eb="2">
      <t>アツリョク</t>
    </rPh>
    <phoneticPr fontId="1"/>
  </si>
  <si>
    <t>200℃</t>
    <phoneticPr fontId="1"/>
  </si>
  <si>
    <t>400℃</t>
    <phoneticPr fontId="1"/>
  </si>
  <si>
    <t>500℃</t>
    <phoneticPr fontId="1"/>
  </si>
  <si>
    <t>計算のまとめ</t>
    <rPh sb="0" eb="2">
      <t>ケイサン</t>
    </rPh>
    <phoneticPr fontId="1"/>
  </si>
  <si>
    <t>温度[℃]</t>
    <rPh sb="0" eb="2">
      <t>オンド</t>
    </rPh>
    <phoneticPr fontId="1"/>
  </si>
  <si>
    <t>CH4</t>
    <phoneticPr fontId="1"/>
  </si>
  <si>
    <t>H2O</t>
    <phoneticPr fontId="1"/>
  </si>
  <si>
    <t>CO</t>
    <phoneticPr fontId="1"/>
  </si>
  <si>
    <t>P=0.1 MPa</t>
    <phoneticPr fontId="1"/>
  </si>
  <si>
    <t>P=1 MPa</t>
    <phoneticPr fontId="1"/>
  </si>
  <si>
    <t>1/T</t>
    <phoneticPr fontId="1"/>
  </si>
  <si>
    <t>ln K</t>
    <phoneticPr fontId="1"/>
  </si>
  <si>
    <t>K</t>
    <phoneticPr fontId="1"/>
  </si>
  <si>
    <t>T in K</t>
    <phoneticPr fontId="1"/>
  </si>
  <si>
    <t>ΔHf一定によるK</t>
    <rPh sb="3" eb="5">
      <t>イッテイ</t>
    </rPh>
    <phoneticPr fontId="1"/>
  </si>
  <si>
    <t>K</t>
    <phoneticPr fontId="1"/>
  </si>
  <si>
    <t>ΔCp, Cp=a+bT+cT^2+dT^3</t>
    <phoneticPr fontId="1"/>
  </si>
  <si>
    <t>ΔrHﾟ(T0), ΔfHﾟ</t>
    <phoneticPr fontId="1"/>
  </si>
  <si>
    <t>ΔrSﾟ(T0), Sﾟ</t>
    <phoneticPr fontId="1"/>
  </si>
  <si>
    <t>ΔrHﾟ(T)=ΔrHﾟ(T0)+∫ΔCpdT</t>
    <phoneticPr fontId="1"/>
  </si>
  <si>
    <t>ΔrSﾟ(T)=ΔrSﾟ(T0)+∫(ΔCp/T)dT</t>
    <phoneticPr fontId="1"/>
  </si>
  <si>
    <t>ΔrGﾟ(T)=ΔrHﾟ(T)-TΔrSﾟ(T)</t>
    <phoneticPr fontId="1"/>
  </si>
  <si>
    <t>K(T)</t>
    <phoneticPr fontId="1"/>
  </si>
  <si>
    <t>473K</t>
    <phoneticPr fontId="1"/>
  </si>
  <si>
    <t>673K</t>
    <phoneticPr fontId="1"/>
  </si>
  <si>
    <t>773K</t>
    <phoneticPr fontId="1"/>
  </si>
  <si>
    <t>全圧　p</t>
    <rPh sb="0" eb="2">
      <t>ゼンアツ</t>
    </rPh>
    <phoneticPr fontId="1"/>
  </si>
  <si>
    <t>標準圧力　p0</t>
    <rPh sb="0" eb="2">
      <t>ヒョウジュン</t>
    </rPh>
    <rPh sb="2" eb="4">
      <t>アツリョク</t>
    </rPh>
    <phoneticPr fontId="1"/>
  </si>
  <si>
    <t>方程式　K=Π(pi/p0)^νi</t>
    <rPh sb="0" eb="3">
      <t>ホウテイシキ</t>
    </rPh>
    <phoneticPr fontId="1"/>
  </si>
  <si>
    <t>平衡時物質量</t>
    <rPh sb="0" eb="2">
      <t>ヘイコウ</t>
    </rPh>
    <rPh sb="2" eb="3">
      <t>ジ</t>
    </rPh>
    <rPh sb="3" eb="6">
      <t>ブッシツリョウ</t>
    </rPh>
    <phoneticPr fontId="1"/>
  </si>
  <si>
    <t>計算結果まとめ</t>
    <rPh sb="0" eb="2">
      <t>ケイサン</t>
    </rPh>
    <rPh sb="2" eb="4">
      <t>ケッカ</t>
    </rPh>
    <phoneticPr fontId="1"/>
  </si>
  <si>
    <t>1000℃</t>
    <phoneticPr fontId="1"/>
  </si>
  <si>
    <t>1500℃</t>
    <phoneticPr fontId="1"/>
  </si>
  <si>
    <t>2000℃</t>
    <phoneticPr fontId="1"/>
  </si>
  <si>
    <t>2500℃</t>
    <phoneticPr fontId="1"/>
  </si>
  <si>
    <t>1273K</t>
    <phoneticPr fontId="1"/>
  </si>
  <si>
    <t>1773K</t>
    <phoneticPr fontId="1"/>
  </si>
  <si>
    <t>2273K</t>
    <phoneticPr fontId="1"/>
  </si>
  <si>
    <t>2773K</t>
    <phoneticPr fontId="1"/>
  </si>
  <si>
    <t>p=0.1 MPa</t>
    <phoneticPr fontId="1"/>
  </si>
  <si>
    <t>H2O転化率</t>
    <rPh sb="3" eb="5">
      <t>テンカ</t>
    </rPh>
    <rPh sb="5" eb="6">
      <t>リツ</t>
    </rPh>
    <phoneticPr fontId="1"/>
  </si>
  <si>
    <t>p=0.01 MPa</t>
    <phoneticPr fontId="1"/>
  </si>
  <si>
    <t>架谷新編化学工学p219</t>
    <rPh sb="0" eb="1">
      <t>カ</t>
    </rPh>
    <rPh sb="1" eb="2">
      <t>タニ</t>
    </rPh>
    <rPh sb="2" eb="4">
      <t>シンペン</t>
    </rPh>
    <rPh sb="4" eb="6">
      <t>カガク</t>
    </rPh>
    <rPh sb="6" eb="8">
      <t>コウガク</t>
    </rPh>
    <phoneticPr fontId="1"/>
  </si>
  <si>
    <t>T0 約束温度</t>
    <rPh sb="3" eb="5">
      <t>ヤクソク</t>
    </rPh>
    <rPh sb="5" eb="7">
      <t>オンド</t>
    </rPh>
    <phoneticPr fontId="1"/>
  </si>
  <si>
    <t>アトキンスp. 212</t>
    <phoneticPr fontId="1"/>
  </si>
  <si>
    <t>アンモニア生成反応平衡定数既往の値</t>
    <rPh sb="5" eb="7">
      <t>セイセイ</t>
    </rPh>
    <rPh sb="7" eb="9">
      <t>ハンノウ</t>
    </rPh>
    <rPh sb="9" eb="11">
      <t>ヘイコウ</t>
    </rPh>
    <rPh sb="11" eb="13">
      <t>テイスウ</t>
    </rPh>
    <rPh sb="13" eb="15">
      <t>キオウ</t>
    </rPh>
    <rPh sb="16" eb="17">
      <t>アタイ</t>
    </rPh>
    <phoneticPr fontId="1"/>
  </si>
  <si>
    <t>一致</t>
    <rPh sb="0" eb="2">
      <t>イッチ</t>
    </rPh>
    <phoneticPr fontId="1"/>
  </si>
  <si>
    <t>荒井　工学のための物理化学　p.135</t>
    <rPh sb="0" eb="2">
      <t>アライ</t>
    </rPh>
    <rPh sb="3" eb="5">
      <t>コウガク</t>
    </rPh>
    <rPh sb="9" eb="11">
      <t>ブツリ</t>
    </rPh>
    <rPh sb="11" eb="13">
      <t>カガク</t>
    </rPh>
    <phoneticPr fontId="1"/>
  </si>
  <si>
    <t>ほぼ一致</t>
    <rPh sb="2" eb="4">
      <t>イッチ</t>
    </rPh>
    <phoneticPr fontId="1"/>
  </si>
  <si>
    <t>Winnick: Chemical Engineering Thermodynamics, p. 526</t>
    <phoneticPr fontId="1"/>
  </si>
  <si>
    <t>K/K298</t>
    <phoneticPr fontId="1"/>
  </si>
  <si>
    <t>原田義也：化学熱力学, p. 118 (2012)</t>
    <rPh sb="0" eb="2">
      <t>ハラダ</t>
    </rPh>
    <rPh sb="2" eb="4">
      <t>ヨシヤ</t>
    </rPh>
    <rPh sb="5" eb="7">
      <t>カガク</t>
    </rPh>
    <rPh sb="7" eb="10">
      <t>ネツリキガク</t>
    </rPh>
    <phoneticPr fontId="1"/>
  </si>
  <si>
    <t>Kp[bar-2]</t>
    <phoneticPr fontId="1"/>
  </si>
  <si>
    <t>http://comtecquest.com/</t>
    <phoneticPr fontId="1"/>
  </si>
  <si>
    <t>コムテック・クウェスト</t>
    <phoneticPr fontId="1"/>
  </si>
  <si>
    <t>既往の値との比較</t>
    <rPh sb="0" eb="2">
      <t>キオウ</t>
    </rPh>
    <rPh sb="3" eb="4">
      <t>アタイ</t>
    </rPh>
    <rPh sb="6" eb="8">
      <t>ヒカク</t>
    </rPh>
    <phoneticPr fontId="1"/>
  </si>
  <si>
    <t>小島：熱力学 p282</t>
    <rPh sb="0" eb="2">
      <t>コジマ</t>
    </rPh>
    <rPh sb="3" eb="6">
      <t>ネツリキガク</t>
    </rPh>
    <phoneticPr fontId="1"/>
  </si>
  <si>
    <t>ΣνX</t>
    <phoneticPr fontId="1"/>
  </si>
  <si>
    <t>プロパンC3H8</t>
    <phoneticPr fontId="1"/>
  </si>
  <si>
    <t>プロピレンC3H6</t>
    <phoneticPr fontId="1"/>
  </si>
  <si>
    <t>H2</t>
    <phoneticPr fontId="1"/>
  </si>
  <si>
    <t>橋本健治：反応工学, p. 135 例題7.2</t>
    <rPh sb="0" eb="2">
      <t>ハシモト</t>
    </rPh>
    <rPh sb="2" eb="4">
      <t>ケンジ</t>
    </rPh>
    <rPh sb="5" eb="7">
      <t>ハンノウ</t>
    </rPh>
    <rPh sb="7" eb="9">
      <t>コウガク</t>
    </rPh>
    <rPh sb="18" eb="20">
      <t>レイダイ</t>
    </rPh>
    <phoneticPr fontId="1"/>
  </si>
  <si>
    <t>T</t>
    <phoneticPr fontId="1"/>
  </si>
  <si>
    <t>K</t>
    <phoneticPr fontId="1"/>
  </si>
  <si>
    <t>ΔrHﾟ(T0), ΔfHﾟ</t>
    <phoneticPr fontId="1"/>
  </si>
  <si>
    <t>kJ/mol</t>
    <phoneticPr fontId="1"/>
  </si>
  <si>
    <t>J/K-mol</t>
    <phoneticPr fontId="1"/>
  </si>
  <si>
    <t>ΔCp, Cp=a+bT+cT^2+dT^3</t>
    <phoneticPr fontId="1"/>
  </si>
  <si>
    <t>a</t>
    <phoneticPr fontId="1"/>
  </si>
  <si>
    <t>b</t>
    <phoneticPr fontId="1"/>
  </si>
  <si>
    <t xml:space="preserve">c </t>
    <phoneticPr fontId="1"/>
  </si>
  <si>
    <t>∫ΔCpdT</t>
    <phoneticPr fontId="1"/>
  </si>
  <si>
    <t>∫(ΔCp/T)dT</t>
    <phoneticPr fontId="1"/>
  </si>
  <si>
    <t>kJ/mol</t>
    <phoneticPr fontId="1"/>
  </si>
  <si>
    <t>ΔrGﾟ(T)=ΔrHﾟ(T)-TΔrSﾟ(T)</t>
    <phoneticPr fontId="1"/>
  </si>
  <si>
    <t>R</t>
    <phoneticPr fontId="1"/>
  </si>
  <si>
    <t>ln K(T)=-ΔGﾟ(T)/RT</t>
    <phoneticPr fontId="1"/>
  </si>
  <si>
    <t>K(T)</t>
    <phoneticPr fontId="1"/>
  </si>
  <si>
    <t>MPa</t>
    <phoneticPr fontId="1"/>
  </si>
  <si>
    <t>MPa</t>
    <phoneticPr fontId="1"/>
  </si>
  <si>
    <t>Murphy Introduciton to Chemical Processses p. 318</t>
    <phoneticPr fontId="1"/>
  </si>
  <si>
    <t>ΔH一定に一致</t>
    <rPh sb="2" eb="4">
      <t>イッテイ</t>
    </rPh>
    <rPh sb="5" eb="7">
      <t>イッチ</t>
    </rPh>
    <phoneticPr fontId="1"/>
  </si>
  <si>
    <t>Atkins&amp;Jones: Chemical Principles. 6th ed,  p. 428 (2013)</t>
    <phoneticPr fontId="1"/>
  </si>
  <si>
    <t>同 p. 140</t>
    <rPh sb="0" eb="1">
      <t>ドウ</t>
    </rPh>
    <phoneticPr fontId="1"/>
  </si>
  <si>
    <t>ｔａｔｅ縦</t>
    <rPh sb="4" eb="5">
      <t>タテ</t>
    </rPh>
    <phoneticPr fontId="1"/>
  </si>
  <si>
    <t>log K</t>
    <phoneticPr fontId="1"/>
  </si>
  <si>
    <t>伊香輪・新山：化学熱力学 p. 181</t>
    <rPh sb="0" eb="1">
      <t>イ</t>
    </rPh>
    <rPh sb="1" eb="2">
      <t>コウ</t>
    </rPh>
    <rPh sb="2" eb="3">
      <t>ワ</t>
    </rPh>
    <rPh sb="4" eb="6">
      <t>ニイヤマ</t>
    </rPh>
    <rPh sb="7" eb="9">
      <t>カガク</t>
    </rPh>
    <rPh sb="9" eb="12">
      <t>ネツリキガク</t>
    </rPh>
    <phoneticPr fontId="1"/>
  </si>
  <si>
    <t>Kp</t>
    <phoneticPr fontId="1"/>
  </si>
  <si>
    <t>橋本</t>
    <rPh sb="0" eb="2">
      <t>ハシモト</t>
    </rPh>
    <phoneticPr fontId="1"/>
  </si>
  <si>
    <t>K850=</t>
    <phoneticPr fontId="1"/>
  </si>
  <si>
    <t>x=</t>
    <phoneticPr fontId="1"/>
  </si>
  <si>
    <t>平衡定数計算まとめ</t>
    <rPh sb="0" eb="2">
      <t>ヘイコウ</t>
    </rPh>
    <rPh sb="2" eb="4">
      <t>テイスウ</t>
    </rPh>
    <rPh sb="4" eb="6">
      <t>ケイサン</t>
    </rPh>
    <phoneticPr fontId="1"/>
  </si>
  <si>
    <t>TT[K]</t>
    <phoneticPr fontId="1"/>
  </si>
  <si>
    <t>K</t>
    <phoneticPr fontId="1"/>
  </si>
  <si>
    <t>ln(K)</t>
    <phoneticPr fontId="1"/>
  </si>
  <si>
    <t>その温度の生成ギブスエネルギーから求める方法</t>
    <rPh sb="2" eb="4">
      <t>オンド</t>
    </rPh>
    <rPh sb="5" eb="7">
      <t>セイセイ</t>
    </rPh>
    <rPh sb="17" eb="18">
      <t>モト</t>
    </rPh>
    <rPh sb="20" eb="22">
      <t>ホウホウ</t>
    </rPh>
    <phoneticPr fontId="1"/>
  </si>
  <si>
    <t>500K のΔrG</t>
    <phoneticPr fontId="1"/>
  </si>
  <si>
    <t>バーロー物理化学（上）付録B14</t>
    <rPh sb="4" eb="6">
      <t>ブツリ</t>
    </rPh>
    <rPh sb="6" eb="8">
      <t>カガク</t>
    </rPh>
    <rPh sb="9" eb="10">
      <t>ジョウ</t>
    </rPh>
    <rPh sb="11" eb="13">
      <t>フロク</t>
    </rPh>
    <phoneticPr fontId="1"/>
  </si>
  <si>
    <t>N2</t>
    <phoneticPr fontId="1"/>
  </si>
  <si>
    <t>kJ/mol</t>
    <phoneticPr fontId="1"/>
  </si>
  <si>
    <t>H2</t>
    <phoneticPr fontId="1"/>
  </si>
  <si>
    <t>NH3(g)</t>
    <phoneticPr fontId="1"/>
  </si>
  <si>
    <t>ΔrG</t>
    <phoneticPr fontId="1"/>
  </si>
  <si>
    <t>T</t>
    <phoneticPr fontId="1"/>
  </si>
  <si>
    <t>K 500K</t>
    <phoneticPr fontId="1"/>
  </si>
  <si>
    <t>分圧　pi=p*yi</t>
    <rPh sb="0" eb="2">
      <t>ブンアツ</t>
    </rPh>
    <phoneticPr fontId="1"/>
  </si>
  <si>
    <t>ΔrSﾟ(T)=∫(ΔCp/T)dT</t>
    <phoneticPr fontId="1"/>
  </si>
  <si>
    <t>(COCO物性値）</t>
    <rPh sb="5" eb="8">
      <t>ブッセイチ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</si>
</sst>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E+00"/>
    <numFmt numFmtId="177" formatCode="0.0_ "/>
    <numFmt numFmtId="178" formatCode="0.00_ "/>
  </numFmts>
  <fonts count="11" x14ac:knownFonts="1"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8"/>
      <color theme="10"/>
      <name val="ＭＳ Ｐゴシック"/>
      <family val="3"/>
      <charset val="128"/>
    </font>
    <font>
      <sz val="8"/>
      <color rgb="FF333333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1" fontId="3" fillId="0" borderId="0" xfId="0" applyNumberFormat="1" applyFont="1">
      <alignment vertical="center"/>
    </xf>
    <xf numFmtId="11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6" fillId="0" borderId="0" xfId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1" fontId="0" fillId="0" borderId="0" xfId="0" applyNumberFormat="1">
      <alignment vertical="center"/>
    </xf>
    <xf numFmtId="0" fontId="8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0" fontId="9" fillId="0" borderId="0" xfId="0" applyFont="1">
      <alignment vertical="center"/>
    </xf>
    <xf numFmtId="11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10" fillId="0" borderId="0" xfId="0" applyFont="1">
      <alignment vertical="center"/>
    </xf>
    <xf numFmtId="177" fontId="0" fillId="0" borderId="0" xfId="0" applyNumberFormat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この計算値</a:t>
            </a:r>
          </a:p>
        </c:rich>
      </c:tx>
      <c:layout>
        <c:manualLayout>
          <c:xMode val="edge"/>
          <c:yMode val="edge"/>
          <c:x val="0.71849906661110574"/>
          <c:y val="0.4284094769818964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5720634324027"/>
          <c:y val="4.8110127087786884E-2"/>
          <c:w val="0.73477948451499864"/>
          <c:h val="0.76771293735901591"/>
        </c:manualLayout>
      </c:layout>
      <c:scatterChart>
        <c:scatterStyle val="lineMarker"/>
        <c:varyColors val="0"/>
        <c:ser>
          <c:idx val="24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平衡定数アンモニア!$J$2:$J$9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平衡定数アンモニア!$K$2:$K$9</c:f>
              <c:numCache>
                <c:formatCode>General</c:formatCode>
                <c:ptCount val="8"/>
                <c:pt idx="0">
                  <c:v>472584</c:v>
                </c:pt>
                <c:pt idx="1">
                  <c:v>37.49</c:v>
                </c:pt>
                <c:pt idx="2">
                  <c:v>0.1027</c:v>
                </c:pt>
                <c:pt idx="3">
                  <c:v>1.6999999999999999E-3</c:v>
                </c:pt>
                <c:pt idx="4" formatCode="0.00E+00">
                  <c:v>8.8999999999999995E-5</c:v>
                </c:pt>
                <c:pt idx="5" formatCode="0.00E+00">
                  <c:v>9.0350000000000007E-6</c:v>
                </c:pt>
                <c:pt idx="6" formatCode="0.00E+00">
                  <c:v>1.477E-6</c:v>
                </c:pt>
                <c:pt idx="7" formatCode="0.00E+00">
                  <c:v>3.3999999999999997E-7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31-4CD0-B5A3-2FD571877387}"/>
            </c:ext>
          </c:extLst>
        </c:ser>
        <c:ser>
          <c:idx val="25"/>
          <c:order val="1"/>
          <c:spPr>
            <a:ln w="19050">
              <a:noFill/>
            </a:ln>
          </c:spPr>
          <c:marker>
            <c:symbol val="none"/>
          </c:marker>
          <c:xVal>
            <c:strRef>
              <c:f>平衡定数アンモニア!$A$65:$A$93</c:f>
              <c:strCache>
                <c:ptCount val="2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Atkins&amp;Jones: Chemical Principles. 6th ed,  p. 428 (2013)</c:v>
                </c:pt>
                <c:pt idx="10">
                  <c:v>T[K]</c:v>
                </c:pt>
                <c:pt idx="11">
                  <c:v>298</c:v>
                </c:pt>
                <c:pt idx="12">
                  <c:v>400</c:v>
                </c:pt>
                <c:pt idx="13">
                  <c:v>500</c:v>
                </c:pt>
                <c:pt idx="14">
                  <c:v>Winnick: Chemical Engineering Thermodynamics, p. 526</c:v>
                </c:pt>
                <c:pt idx="15">
                  <c:v>T[K]</c:v>
                </c:pt>
                <c:pt idx="16">
                  <c:v>800</c:v>
                </c:pt>
                <c:pt idx="17">
                  <c:v>原田義也：化学熱力学, p. 118 (2012)</c:v>
                </c:pt>
                <c:pt idx="18">
                  <c:v>T[K]</c:v>
                </c:pt>
                <c:pt idx="19">
                  <c:v>298</c:v>
                </c:pt>
                <c:pt idx="20">
                  <c:v>1000</c:v>
                </c:pt>
                <c:pt idx="21">
                  <c:v>Murphy Introduciton to Chemical Processses p. 318</c:v>
                </c:pt>
                <c:pt idx="22">
                  <c:v>T[K]</c:v>
                </c:pt>
                <c:pt idx="23">
                  <c:v>300</c:v>
                </c:pt>
                <c:pt idx="24">
                  <c:v>400</c:v>
                </c:pt>
                <c:pt idx="25">
                  <c:v>500</c:v>
                </c:pt>
                <c:pt idx="26">
                  <c:v>600</c:v>
                </c:pt>
                <c:pt idx="27">
                  <c:v>700</c:v>
                </c:pt>
                <c:pt idx="28">
                  <c:v>800</c:v>
                </c:pt>
              </c:strCache>
            </c:strRef>
          </c:xVal>
          <c:yVal>
            <c:numRef>
              <c:f>平衡定数アンモニア!$B$65:$B$92</c:f>
              <c:numCache>
                <c:formatCode>General</c:formatCode>
                <c:ptCount val="28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  <c:pt idx="10">
                  <c:v>0</c:v>
                </c:pt>
                <c:pt idx="11" formatCode="0.00E+00">
                  <c:v>680000</c:v>
                </c:pt>
                <c:pt idx="12">
                  <c:v>41</c:v>
                </c:pt>
                <c:pt idx="13" formatCode="0.00E+00">
                  <c:v>3.5999999999999997E-2</c:v>
                </c:pt>
                <c:pt idx="15">
                  <c:v>0</c:v>
                </c:pt>
                <c:pt idx="16" formatCode="0.00E+00">
                  <c:v>8.9299999999999992E-6</c:v>
                </c:pt>
                <c:pt idx="18">
                  <c:v>0</c:v>
                </c:pt>
                <c:pt idx="19" formatCode="0.00E+00">
                  <c:v>581000</c:v>
                </c:pt>
                <c:pt idx="20" formatCode="0.00E+00">
                  <c:v>2.8200000000000001E-7</c:v>
                </c:pt>
                <c:pt idx="22">
                  <c:v>0</c:v>
                </c:pt>
                <c:pt idx="23">
                  <c:v>514011.02827753447</c:v>
                </c:pt>
                <c:pt idx="24">
                  <c:v>49.402449105530103</c:v>
                </c:pt>
                <c:pt idx="25">
                  <c:v>0.19204990862075372</c:v>
                </c:pt>
                <c:pt idx="26">
                  <c:v>4.748150999411469E-3</c:v>
                </c:pt>
                <c:pt idx="27">
                  <c:v>3.3786736766244714E-4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31-4CD0-B5A3-2FD571877387}"/>
            </c:ext>
          </c:extLst>
        </c:ser>
        <c:ser>
          <c:idx val="26"/>
          <c:order val="2"/>
          <c:spPr>
            <a:ln w="19050">
              <a:noFill/>
            </a:ln>
          </c:spPr>
          <c:marker>
            <c:symbol val="none"/>
          </c:marker>
          <c:xVal>
            <c:numRef>
              <c:f>平衡定数アンモニア!$A$61:$A$62</c:f>
              <c:numCache>
                <c:formatCode>General</c:formatCode>
                <c:ptCount val="2"/>
                <c:pt idx="0">
                  <c:v>673</c:v>
                </c:pt>
                <c:pt idx="1">
                  <c:v>773</c:v>
                </c:pt>
              </c:numCache>
            </c:numRef>
          </c:xVal>
          <c:yVal>
            <c:numRef>
              <c:f>平衡定数アンモニア!$B$61:$B$62</c:f>
              <c:numCache>
                <c:formatCode>0.00E+00</c:formatCode>
                <c:ptCount val="2"/>
                <c:pt idx="0">
                  <c:v>1.64E-4</c:v>
                </c:pt>
                <c:pt idx="1">
                  <c:v>1.4399999999999999E-5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31-4CD0-B5A3-2FD571877387}"/>
            </c:ext>
          </c:extLst>
        </c:ser>
        <c:ser>
          <c:idx val="27"/>
          <c:order val="3"/>
          <c:marker>
            <c:symbol val="none"/>
          </c:marker>
          <c:xVal>
            <c:numRef>
              <c:f>平衡定数アンモニア!$A$76:$A$78</c:f>
              <c:numCache>
                <c:formatCode>General</c:formatCode>
                <c:ptCount val="3"/>
                <c:pt idx="0">
                  <c:v>298</c:v>
                </c:pt>
                <c:pt idx="1">
                  <c:v>400</c:v>
                </c:pt>
                <c:pt idx="2">
                  <c:v>500</c:v>
                </c:pt>
              </c:numCache>
            </c:numRef>
          </c:xVal>
          <c:yVal>
            <c:numRef>
              <c:f>平衡定数アンモニア!$B$76:$B$78</c:f>
              <c:numCache>
                <c:formatCode>General</c:formatCode>
                <c:ptCount val="3"/>
                <c:pt idx="0" formatCode="0.00E+00">
                  <c:v>680000</c:v>
                </c:pt>
                <c:pt idx="1">
                  <c:v>41</c:v>
                </c:pt>
                <c:pt idx="2" formatCode="0.00E+00">
                  <c:v>3.5999999999999997E-2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31-4CD0-B5A3-2FD571877387}"/>
            </c:ext>
          </c:extLst>
        </c:ser>
        <c:ser>
          <c:idx val="28"/>
          <c:order val="4"/>
          <c:marker>
            <c:symbol val="none"/>
          </c:marker>
          <c:xVal>
            <c:numRef>
              <c:f>平衡定数アンモニア!$A$81</c:f>
              <c:numCache>
                <c:formatCode>General</c:formatCode>
                <c:ptCount val="1"/>
                <c:pt idx="0">
                  <c:v>800</c:v>
                </c:pt>
              </c:numCache>
            </c:numRef>
          </c:xVal>
          <c:yVal>
            <c:numRef>
              <c:f>平衡定数アンモニア!$B$81</c:f>
              <c:numCache>
                <c:formatCode>0.00E+00</c:formatCode>
                <c:ptCount val="1"/>
                <c:pt idx="0">
                  <c:v>8.9299999999999992E-6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31-4CD0-B5A3-2FD571877387}"/>
            </c:ext>
          </c:extLst>
        </c:ser>
        <c:ser>
          <c:idx val="29"/>
          <c:order val="5"/>
          <c:spPr>
            <a:ln>
              <a:noFill/>
            </a:ln>
          </c:spPr>
          <c:marker>
            <c:symbol val="none"/>
          </c:marker>
          <c:xVal>
            <c:numRef>
              <c:f>平衡定数アンモニア!$A$84:$A$85</c:f>
              <c:numCache>
                <c:formatCode>General</c:formatCode>
                <c:ptCount val="2"/>
                <c:pt idx="0">
                  <c:v>298</c:v>
                </c:pt>
                <c:pt idx="1">
                  <c:v>1000</c:v>
                </c:pt>
              </c:numCache>
            </c:numRef>
          </c:xVal>
          <c:yVal>
            <c:numRef>
              <c:f>平衡定数アンモニア!$B$84:$B$85</c:f>
              <c:numCache>
                <c:formatCode>0.00E+00</c:formatCode>
                <c:ptCount val="2"/>
                <c:pt idx="0">
                  <c:v>581000</c:v>
                </c:pt>
                <c:pt idx="1">
                  <c:v>2.8200000000000001E-7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31-4CD0-B5A3-2FD571877387}"/>
            </c:ext>
          </c:extLst>
        </c:ser>
        <c:ser>
          <c:idx val="30"/>
          <c:order val="6"/>
          <c:marker>
            <c:symbol val="none"/>
          </c:marker>
          <c:xVal>
            <c:numRef>
              <c:f>平衡定数アンモニア!$A$88:$A$95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平衡定数アンモニア!$B$88:$B$95</c:f>
              <c:numCache>
                <c:formatCode>General</c:formatCode>
                <c:ptCount val="8"/>
                <c:pt idx="0">
                  <c:v>514011.02827753447</c:v>
                </c:pt>
                <c:pt idx="1">
                  <c:v>49.402449105530103</c:v>
                </c:pt>
                <c:pt idx="2">
                  <c:v>0.19204990862075372</c:v>
                </c:pt>
                <c:pt idx="3">
                  <c:v>4.748150999411469E-3</c:v>
                </c:pt>
                <c:pt idx="4">
                  <c:v>3.3786736766244714E-4</c:v>
                </c:pt>
                <c:pt idx="5">
                  <c:v>4.654923445622269E-5</c:v>
                </c:pt>
                <c:pt idx="6">
                  <c:v>9.9626578787943985E-6</c:v>
                </c:pt>
                <c:pt idx="7">
                  <c:v>2.9023204086503985E-6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31-4CD0-B5A3-2FD571877387}"/>
            </c:ext>
          </c:extLst>
        </c:ser>
        <c:ser>
          <c:idx val="31"/>
          <c:order val="7"/>
          <c:spPr>
            <a:ln w="63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平衡定数アンモニア!$A$65:$A$73</c:f>
              <c:numCache>
                <c:formatCode>General</c:formatCode>
                <c:ptCount val="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平衡定数アンモニア!$B$65:$B$73</c:f>
              <c:numCache>
                <c:formatCode>General</c:formatCode>
                <c:ptCount val="9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31-4CD0-B5A3-2FD571877387}"/>
            </c:ext>
          </c:extLst>
        </c:ser>
        <c:ser>
          <c:idx val="32"/>
          <c:order val="8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平衡定数アンモニア!$J$2:$J$9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平衡定数アンモニア!$K$2:$K$9</c:f>
              <c:numCache>
                <c:formatCode>General</c:formatCode>
                <c:ptCount val="8"/>
                <c:pt idx="0">
                  <c:v>472584</c:v>
                </c:pt>
                <c:pt idx="1">
                  <c:v>37.49</c:v>
                </c:pt>
                <c:pt idx="2">
                  <c:v>0.1027</c:v>
                </c:pt>
                <c:pt idx="3">
                  <c:v>1.6999999999999999E-3</c:v>
                </c:pt>
                <c:pt idx="4" formatCode="0.00E+00">
                  <c:v>8.8999999999999995E-5</c:v>
                </c:pt>
                <c:pt idx="5" formatCode="0.00E+00">
                  <c:v>9.0350000000000007E-6</c:v>
                </c:pt>
                <c:pt idx="6" formatCode="0.00E+00">
                  <c:v>1.477E-6</c:v>
                </c:pt>
                <c:pt idx="7" formatCode="0.00E+00">
                  <c:v>3.3999999999999997E-7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E31-4CD0-B5A3-2FD571877387}"/>
            </c:ext>
          </c:extLst>
        </c:ser>
        <c:ser>
          <c:idx val="33"/>
          <c:order val="9"/>
          <c:spPr>
            <a:ln w="19050">
              <a:noFill/>
            </a:ln>
          </c:spPr>
          <c:marker>
            <c:symbol val="none"/>
          </c:marker>
          <c:xVal>
            <c:strRef>
              <c:f>平衡定数アンモニア!$A$65:$A$93</c:f>
              <c:strCache>
                <c:ptCount val="2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Atkins&amp;Jones: Chemical Principles. 6th ed,  p. 428 (2013)</c:v>
                </c:pt>
                <c:pt idx="10">
                  <c:v>T[K]</c:v>
                </c:pt>
                <c:pt idx="11">
                  <c:v>298</c:v>
                </c:pt>
                <c:pt idx="12">
                  <c:v>400</c:v>
                </c:pt>
                <c:pt idx="13">
                  <c:v>500</c:v>
                </c:pt>
                <c:pt idx="14">
                  <c:v>Winnick: Chemical Engineering Thermodynamics, p. 526</c:v>
                </c:pt>
                <c:pt idx="15">
                  <c:v>T[K]</c:v>
                </c:pt>
                <c:pt idx="16">
                  <c:v>800</c:v>
                </c:pt>
                <c:pt idx="17">
                  <c:v>原田義也：化学熱力学, p. 118 (2012)</c:v>
                </c:pt>
                <c:pt idx="18">
                  <c:v>T[K]</c:v>
                </c:pt>
                <c:pt idx="19">
                  <c:v>298</c:v>
                </c:pt>
                <c:pt idx="20">
                  <c:v>1000</c:v>
                </c:pt>
                <c:pt idx="21">
                  <c:v>Murphy Introduciton to Chemical Processses p. 318</c:v>
                </c:pt>
                <c:pt idx="22">
                  <c:v>T[K]</c:v>
                </c:pt>
                <c:pt idx="23">
                  <c:v>300</c:v>
                </c:pt>
                <c:pt idx="24">
                  <c:v>400</c:v>
                </c:pt>
                <c:pt idx="25">
                  <c:v>500</c:v>
                </c:pt>
                <c:pt idx="26">
                  <c:v>600</c:v>
                </c:pt>
                <c:pt idx="27">
                  <c:v>700</c:v>
                </c:pt>
                <c:pt idx="28">
                  <c:v>800</c:v>
                </c:pt>
              </c:strCache>
            </c:strRef>
          </c:xVal>
          <c:yVal>
            <c:numRef>
              <c:f>平衡定数アンモニア!$B$65:$B$92</c:f>
              <c:numCache>
                <c:formatCode>General</c:formatCode>
                <c:ptCount val="28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  <c:pt idx="10">
                  <c:v>0</c:v>
                </c:pt>
                <c:pt idx="11" formatCode="0.00E+00">
                  <c:v>680000</c:v>
                </c:pt>
                <c:pt idx="12">
                  <c:v>41</c:v>
                </c:pt>
                <c:pt idx="13" formatCode="0.00E+00">
                  <c:v>3.5999999999999997E-2</c:v>
                </c:pt>
                <c:pt idx="15">
                  <c:v>0</c:v>
                </c:pt>
                <c:pt idx="16" formatCode="0.00E+00">
                  <c:v>8.9299999999999992E-6</c:v>
                </c:pt>
                <c:pt idx="18">
                  <c:v>0</c:v>
                </c:pt>
                <c:pt idx="19" formatCode="0.00E+00">
                  <c:v>581000</c:v>
                </c:pt>
                <c:pt idx="20" formatCode="0.00E+00">
                  <c:v>2.8200000000000001E-7</c:v>
                </c:pt>
                <c:pt idx="22">
                  <c:v>0</c:v>
                </c:pt>
                <c:pt idx="23">
                  <c:v>514011.02827753447</c:v>
                </c:pt>
                <c:pt idx="24">
                  <c:v>49.402449105530103</c:v>
                </c:pt>
                <c:pt idx="25">
                  <c:v>0.19204990862075372</c:v>
                </c:pt>
                <c:pt idx="26">
                  <c:v>4.748150999411469E-3</c:v>
                </c:pt>
                <c:pt idx="27">
                  <c:v>3.3786736766244714E-4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E31-4CD0-B5A3-2FD571877387}"/>
            </c:ext>
          </c:extLst>
        </c:ser>
        <c:ser>
          <c:idx val="34"/>
          <c:order val="10"/>
          <c:spPr>
            <a:ln w="19050">
              <a:noFill/>
            </a:ln>
          </c:spPr>
          <c:marker>
            <c:symbol val="none"/>
          </c:marker>
          <c:xVal>
            <c:numRef>
              <c:f>平衡定数アンモニア!$A$61:$A$62</c:f>
              <c:numCache>
                <c:formatCode>General</c:formatCode>
                <c:ptCount val="2"/>
                <c:pt idx="0">
                  <c:v>673</c:v>
                </c:pt>
                <c:pt idx="1">
                  <c:v>773</c:v>
                </c:pt>
              </c:numCache>
            </c:numRef>
          </c:xVal>
          <c:yVal>
            <c:numRef>
              <c:f>平衡定数アンモニア!$B$61:$B$62</c:f>
              <c:numCache>
                <c:formatCode>0.00E+00</c:formatCode>
                <c:ptCount val="2"/>
                <c:pt idx="0">
                  <c:v>1.64E-4</c:v>
                </c:pt>
                <c:pt idx="1">
                  <c:v>1.4399999999999999E-5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E31-4CD0-B5A3-2FD571877387}"/>
            </c:ext>
          </c:extLst>
        </c:ser>
        <c:ser>
          <c:idx val="35"/>
          <c:order val="11"/>
          <c:marker>
            <c:symbol val="none"/>
          </c:marker>
          <c:xVal>
            <c:numRef>
              <c:f>平衡定数アンモニア!$A$76:$A$78</c:f>
              <c:numCache>
                <c:formatCode>General</c:formatCode>
                <c:ptCount val="3"/>
                <c:pt idx="0">
                  <c:v>298</c:v>
                </c:pt>
                <c:pt idx="1">
                  <c:v>400</c:v>
                </c:pt>
                <c:pt idx="2">
                  <c:v>500</c:v>
                </c:pt>
              </c:numCache>
            </c:numRef>
          </c:xVal>
          <c:yVal>
            <c:numRef>
              <c:f>平衡定数アンモニア!$B$76:$B$78</c:f>
              <c:numCache>
                <c:formatCode>General</c:formatCode>
                <c:ptCount val="3"/>
                <c:pt idx="0" formatCode="0.00E+00">
                  <c:v>680000</c:v>
                </c:pt>
                <c:pt idx="1">
                  <c:v>41</c:v>
                </c:pt>
                <c:pt idx="2" formatCode="0.00E+00">
                  <c:v>3.5999999999999997E-2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E31-4CD0-B5A3-2FD571877387}"/>
            </c:ext>
          </c:extLst>
        </c:ser>
        <c:ser>
          <c:idx val="36"/>
          <c:order val="12"/>
          <c:marker>
            <c:symbol val="none"/>
          </c:marker>
          <c:xVal>
            <c:numRef>
              <c:f>平衡定数アンモニア!$A$81</c:f>
              <c:numCache>
                <c:formatCode>General</c:formatCode>
                <c:ptCount val="1"/>
                <c:pt idx="0">
                  <c:v>800</c:v>
                </c:pt>
              </c:numCache>
            </c:numRef>
          </c:xVal>
          <c:yVal>
            <c:numRef>
              <c:f>平衡定数アンモニア!$B$81</c:f>
              <c:numCache>
                <c:formatCode>0.00E+00</c:formatCode>
                <c:ptCount val="1"/>
                <c:pt idx="0">
                  <c:v>8.9299999999999992E-6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E31-4CD0-B5A3-2FD571877387}"/>
            </c:ext>
          </c:extLst>
        </c:ser>
        <c:ser>
          <c:idx val="37"/>
          <c:order val="13"/>
          <c:spPr>
            <a:ln>
              <a:noFill/>
            </a:ln>
          </c:spPr>
          <c:marker>
            <c:symbol val="none"/>
          </c:marker>
          <c:xVal>
            <c:numRef>
              <c:f>平衡定数アンモニア!$A$84:$A$85</c:f>
              <c:numCache>
                <c:formatCode>General</c:formatCode>
                <c:ptCount val="2"/>
                <c:pt idx="0">
                  <c:v>298</c:v>
                </c:pt>
                <c:pt idx="1">
                  <c:v>1000</c:v>
                </c:pt>
              </c:numCache>
            </c:numRef>
          </c:xVal>
          <c:yVal>
            <c:numRef>
              <c:f>平衡定数アンモニア!$B$84:$B$85</c:f>
              <c:numCache>
                <c:formatCode>0.00E+00</c:formatCode>
                <c:ptCount val="2"/>
                <c:pt idx="0">
                  <c:v>581000</c:v>
                </c:pt>
                <c:pt idx="1">
                  <c:v>2.8200000000000001E-7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E31-4CD0-B5A3-2FD571877387}"/>
            </c:ext>
          </c:extLst>
        </c:ser>
        <c:ser>
          <c:idx val="38"/>
          <c:order val="14"/>
          <c:marker>
            <c:symbol val="none"/>
          </c:marker>
          <c:xVal>
            <c:numRef>
              <c:f>平衡定数アンモニア!$A$88:$A$95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平衡定数アンモニア!$B$88:$B$95</c:f>
              <c:numCache>
                <c:formatCode>General</c:formatCode>
                <c:ptCount val="8"/>
                <c:pt idx="0">
                  <c:v>514011.02827753447</c:v>
                </c:pt>
                <c:pt idx="1">
                  <c:v>49.402449105530103</c:v>
                </c:pt>
                <c:pt idx="2">
                  <c:v>0.19204990862075372</c:v>
                </c:pt>
                <c:pt idx="3">
                  <c:v>4.748150999411469E-3</c:v>
                </c:pt>
                <c:pt idx="4">
                  <c:v>3.3786736766244714E-4</c:v>
                </c:pt>
                <c:pt idx="5">
                  <c:v>4.654923445622269E-5</c:v>
                </c:pt>
                <c:pt idx="6">
                  <c:v>9.9626578787943985E-6</c:v>
                </c:pt>
                <c:pt idx="7">
                  <c:v>2.9023204086503985E-6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E31-4CD0-B5A3-2FD571877387}"/>
            </c:ext>
          </c:extLst>
        </c:ser>
        <c:ser>
          <c:idx val="39"/>
          <c:order val="15"/>
          <c:spPr>
            <a:ln w="63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平衡定数アンモニア!$A$65:$A$73</c:f>
              <c:numCache>
                <c:formatCode>General</c:formatCode>
                <c:ptCount val="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平衡定数アンモニア!$B$65:$B$73</c:f>
              <c:numCache>
                <c:formatCode>General</c:formatCode>
                <c:ptCount val="9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E31-4CD0-B5A3-2FD571877387}"/>
            </c:ext>
          </c:extLst>
        </c:ser>
        <c:ser>
          <c:idx val="40"/>
          <c:order val="16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平衡定数アンモニア!$J$2:$J$9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平衡定数アンモニア!$K$2:$K$9</c:f>
              <c:numCache>
                <c:formatCode>General</c:formatCode>
                <c:ptCount val="8"/>
                <c:pt idx="0">
                  <c:v>472584</c:v>
                </c:pt>
                <c:pt idx="1">
                  <c:v>37.49</c:v>
                </c:pt>
                <c:pt idx="2">
                  <c:v>0.1027</c:v>
                </c:pt>
                <c:pt idx="3">
                  <c:v>1.6999999999999999E-3</c:v>
                </c:pt>
                <c:pt idx="4" formatCode="0.00E+00">
                  <c:v>8.8999999999999995E-5</c:v>
                </c:pt>
                <c:pt idx="5" formatCode="0.00E+00">
                  <c:v>9.0350000000000007E-6</c:v>
                </c:pt>
                <c:pt idx="6" formatCode="0.00E+00">
                  <c:v>1.477E-6</c:v>
                </c:pt>
                <c:pt idx="7" formatCode="0.00E+00">
                  <c:v>3.3999999999999997E-7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E31-4CD0-B5A3-2FD571877387}"/>
            </c:ext>
          </c:extLst>
        </c:ser>
        <c:ser>
          <c:idx val="41"/>
          <c:order val="17"/>
          <c:spPr>
            <a:ln w="19050">
              <a:noFill/>
            </a:ln>
          </c:spPr>
          <c:marker>
            <c:symbol val="none"/>
          </c:marker>
          <c:xVal>
            <c:strRef>
              <c:f>平衡定数アンモニア!$A$65:$A$93</c:f>
              <c:strCache>
                <c:ptCount val="2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Atkins&amp;Jones: Chemical Principles. 6th ed,  p. 428 (2013)</c:v>
                </c:pt>
                <c:pt idx="10">
                  <c:v>T[K]</c:v>
                </c:pt>
                <c:pt idx="11">
                  <c:v>298</c:v>
                </c:pt>
                <c:pt idx="12">
                  <c:v>400</c:v>
                </c:pt>
                <c:pt idx="13">
                  <c:v>500</c:v>
                </c:pt>
                <c:pt idx="14">
                  <c:v>Winnick: Chemical Engineering Thermodynamics, p. 526</c:v>
                </c:pt>
                <c:pt idx="15">
                  <c:v>T[K]</c:v>
                </c:pt>
                <c:pt idx="16">
                  <c:v>800</c:v>
                </c:pt>
                <c:pt idx="17">
                  <c:v>原田義也：化学熱力学, p. 118 (2012)</c:v>
                </c:pt>
                <c:pt idx="18">
                  <c:v>T[K]</c:v>
                </c:pt>
                <c:pt idx="19">
                  <c:v>298</c:v>
                </c:pt>
                <c:pt idx="20">
                  <c:v>1000</c:v>
                </c:pt>
                <c:pt idx="21">
                  <c:v>Murphy Introduciton to Chemical Processses p. 318</c:v>
                </c:pt>
                <c:pt idx="22">
                  <c:v>T[K]</c:v>
                </c:pt>
                <c:pt idx="23">
                  <c:v>300</c:v>
                </c:pt>
                <c:pt idx="24">
                  <c:v>400</c:v>
                </c:pt>
                <c:pt idx="25">
                  <c:v>500</c:v>
                </c:pt>
                <c:pt idx="26">
                  <c:v>600</c:v>
                </c:pt>
                <c:pt idx="27">
                  <c:v>700</c:v>
                </c:pt>
                <c:pt idx="28">
                  <c:v>800</c:v>
                </c:pt>
              </c:strCache>
            </c:strRef>
          </c:xVal>
          <c:yVal>
            <c:numRef>
              <c:f>平衡定数アンモニア!$B$65:$B$92</c:f>
              <c:numCache>
                <c:formatCode>General</c:formatCode>
                <c:ptCount val="28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  <c:pt idx="10">
                  <c:v>0</c:v>
                </c:pt>
                <c:pt idx="11" formatCode="0.00E+00">
                  <c:v>680000</c:v>
                </c:pt>
                <c:pt idx="12">
                  <c:v>41</c:v>
                </c:pt>
                <c:pt idx="13" formatCode="0.00E+00">
                  <c:v>3.5999999999999997E-2</c:v>
                </c:pt>
                <c:pt idx="15">
                  <c:v>0</c:v>
                </c:pt>
                <c:pt idx="16" formatCode="0.00E+00">
                  <c:v>8.9299999999999992E-6</c:v>
                </c:pt>
                <c:pt idx="18">
                  <c:v>0</c:v>
                </c:pt>
                <c:pt idx="19" formatCode="0.00E+00">
                  <c:v>581000</c:v>
                </c:pt>
                <c:pt idx="20" formatCode="0.00E+00">
                  <c:v>2.8200000000000001E-7</c:v>
                </c:pt>
                <c:pt idx="22">
                  <c:v>0</c:v>
                </c:pt>
                <c:pt idx="23">
                  <c:v>514011.02827753447</c:v>
                </c:pt>
                <c:pt idx="24">
                  <c:v>49.402449105530103</c:v>
                </c:pt>
                <c:pt idx="25">
                  <c:v>0.19204990862075372</c:v>
                </c:pt>
                <c:pt idx="26">
                  <c:v>4.748150999411469E-3</c:v>
                </c:pt>
                <c:pt idx="27">
                  <c:v>3.3786736766244714E-4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E31-4CD0-B5A3-2FD571877387}"/>
            </c:ext>
          </c:extLst>
        </c:ser>
        <c:ser>
          <c:idx val="42"/>
          <c:order val="18"/>
          <c:spPr>
            <a:ln w="19050">
              <a:noFill/>
            </a:ln>
          </c:spPr>
          <c:marker>
            <c:symbol val="none"/>
          </c:marker>
          <c:xVal>
            <c:numRef>
              <c:f>平衡定数アンモニア!$A$61:$A$62</c:f>
              <c:numCache>
                <c:formatCode>General</c:formatCode>
                <c:ptCount val="2"/>
                <c:pt idx="0">
                  <c:v>673</c:v>
                </c:pt>
                <c:pt idx="1">
                  <c:v>773</c:v>
                </c:pt>
              </c:numCache>
            </c:numRef>
          </c:xVal>
          <c:yVal>
            <c:numRef>
              <c:f>平衡定数アンモニア!$B$61:$B$62</c:f>
              <c:numCache>
                <c:formatCode>0.00E+00</c:formatCode>
                <c:ptCount val="2"/>
                <c:pt idx="0">
                  <c:v>1.64E-4</c:v>
                </c:pt>
                <c:pt idx="1">
                  <c:v>1.4399999999999999E-5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E31-4CD0-B5A3-2FD571877387}"/>
            </c:ext>
          </c:extLst>
        </c:ser>
        <c:ser>
          <c:idx val="43"/>
          <c:order val="19"/>
          <c:marker>
            <c:symbol val="none"/>
          </c:marker>
          <c:xVal>
            <c:numRef>
              <c:f>平衡定数アンモニア!$A$76:$A$78</c:f>
              <c:numCache>
                <c:formatCode>General</c:formatCode>
                <c:ptCount val="3"/>
                <c:pt idx="0">
                  <c:v>298</c:v>
                </c:pt>
                <c:pt idx="1">
                  <c:v>400</c:v>
                </c:pt>
                <c:pt idx="2">
                  <c:v>500</c:v>
                </c:pt>
              </c:numCache>
            </c:numRef>
          </c:xVal>
          <c:yVal>
            <c:numRef>
              <c:f>平衡定数アンモニア!$B$76:$B$78</c:f>
              <c:numCache>
                <c:formatCode>General</c:formatCode>
                <c:ptCount val="3"/>
                <c:pt idx="0" formatCode="0.00E+00">
                  <c:v>680000</c:v>
                </c:pt>
                <c:pt idx="1">
                  <c:v>41</c:v>
                </c:pt>
                <c:pt idx="2" formatCode="0.00E+00">
                  <c:v>3.5999999999999997E-2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E31-4CD0-B5A3-2FD571877387}"/>
            </c:ext>
          </c:extLst>
        </c:ser>
        <c:ser>
          <c:idx val="44"/>
          <c:order val="20"/>
          <c:marker>
            <c:symbol val="none"/>
          </c:marker>
          <c:xVal>
            <c:numRef>
              <c:f>平衡定数アンモニア!$A$81</c:f>
              <c:numCache>
                <c:formatCode>General</c:formatCode>
                <c:ptCount val="1"/>
                <c:pt idx="0">
                  <c:v>800</c:v>
                </c:pt>
              </c:numCache>
            </c:numRef>
          </c:xVal>
          <c:yVal>
            <c:numRef>
              <c:f>平衡定数アンモニア!$B$81</c:f>
              <c:numCache>
                <c:formatCode>0.00E+00</c:formatCode>
                <c:ptCount val="1"/>
                <c:pt idx="0">
                  <c:v>8.9299999999999992E-6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E31-4CD0-B5A3-2FD571877387}"/>
            </c:ext>
          </c:extLst>
        </c:ser>
        <c:ser>
          <c:idx val="45"/>
          <c:order val="21"/>
          <c:spPr>
            <a:ln>
              <a:noFill/>
            </a:ln>
          </c:spPr>
          <c:marker>
            <c:symbol val="none"/>
          </c:marker>
          <c:xVal>
            <c:numRef>
              <c:f>平衡定数アンモニア!$A$84:$A$85</c:f>
              <c:numCache>
                <c:formatCode>General</c:formatCode>
                <c:ptCount val="2"/>
                <c:pt idx="0">
                  <c:v>298</c:v>
                </c:pt>
                <c:pt idx="1">
                  <c:v>1000</c:v>
                </c:pt>
              </c:numCache>
            </c:numRef>
          </c:xVal>
          <c:yVal>
            <c:numRef>
              <c:f>平衡定数アンモニア!$B$84:$B$85</c:f>
              <c:numCache>
                <c:formatCode>0.00E+00</c:formatCode>
                <c:ptCount val="2"/>
                <c:pt idx="0">
                  <c:v>581000</c:v>
                </c:pt>
                <c:pt idx="1">
                  <c:v>2.8200000000000001E-7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8E31-4CD0-B5A3-2FD571877387}"/>
            </c:ext>
          </c:extLst>
        </c:ser>
        <c:ser>
          <c:idx val="46"/>
          <c:order val="22"/>
          <c:marker>
            <c:symbol val="none"/>
          </c:marker>
          <c:xVal>
            <c:numRef>
              <c:f>平衡定数アンモニア!$A$88:$A$95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平衡定数アンモニア!$B$88:$B$95</c:f>
              <c:numCache>
                <c:formatCode>General</c:formatCode>
                <c:ptCount val="8"/>
                <c:pt idx="0">
                  <c:v>514011.02827753447</c:v>
                </c:pt>
                <c:pt idx="1">
                  <c:v>49.402449105530103</c:v>
                </c:pt>
                <c:pt idx="2">
                  <c:v>0.19204990862075372</c:v>
                </c:pt>
                <c:pt idx="3">
                  <c:v>4.748150999411469E-3</c:v>
                </c:pt>
                <c:pt idx="4">
                  <c:v>3.3786736766244714E-4</c:v>
                </c:pt>
                <c:pt idx="5">
                  <c:v>4.654923445622269E-5</c:v>
                </c:pt>
                <c:pt idx="6">
                  <c:v>9.9626578787943985E-6</c:v>
                </c:pt>
                <c:pt idx="7">
                  <c:v>2.9023204086503985E-6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8E31-4CD0-B5A3-2FD571877387}"/>
            </c:ext>
          </c:extLst>
        </c:ser>
        <c:ser>
          <c:idx val="47"/>
          <c:order val="23"/>
          <c:spPr>
            <a:ln w="63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平衡定数アンモニア!$A$65:$A$73</c:f>
              <c:numCache>
                <c:formatCode>General</c:formatCode>
                <c:ptCount val="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平衡定数アンモニア!$B$65:$B$73</c:f>
              <c:numCache>
                <c:formatCode>General</c:formatCode>
                <c:ptCount val="9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8E31-4CD0-B5A3-2FD571877387}"/>
            </c:ext>
          </c:extLst>
        </c:ser>
        <c:ser>
          <c:idx val="8"/>
          <c:order val="24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平衡定数アンモニア!$J$2:$J$9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平衡定数アンモニア!$K$2:$K$9</c:f>
              <c:numCache>
                <c:formatCode>General</c:formatCode>
                <c:ptCount val="8"/>
                <c:pt idx="0">
                  <c:v>472584</c:v>
                </c:pt>
                <c:pt idx="1">
                  <c:v>37.49</c:v>
                </c:pt>
                <c:pt idx="2">
                  <c:v>0.1027</c:v>
                </c:pt>
                <c:pt idx="3">
                  <c:v>1.6999999999999999E-3</c:v>
                </c:pt>
                <c:pt idx="4" formatCode="0.00E+00">
                  <c:v>8.8999999999999995E-5</c:v>
                </c:pt>
                <c:pt idx="5" formatCode="0.00E+00">
                  <c:v>9.0350000000000007E-6</c:v>
                </c:pt>
                <c:pt idx="6" formatCode="0.00E+00">
                  <c:v>1.477E-6</c:v>
                </c:pt>
                <c:pt idx="7" formatCode="0.00E+00">
                  <c:v>3.3999999999999997E-7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8E31-4CD0-B5A3-2FD571877387}"/>
            </c:ext>
          </c:extLst>
        </c:ser>
        <c:ser>
          <c:idx val="9"/>
          <c:order val="25"/>
          <c:spPr>
            <a:ln w="19050">
              <a:noFill/>
            </a:ln>
          </c:spPr>
          <c:marker>
            <c:symbol val="none"/>
          </c:marker>
          <c:xVal>
            <c:strRef>
              <c:f>平衡定数アンモニア!$A$65:$A$93</c:f>
              <c:strCache>
                <c:ptCount val="2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Atkins&amp;Jones: Chemical Principles. 6th ed,  p. 428 (2013)</c:v>
                </c:pt>
                <c:pt idx="10">
                  <c:v>T[K]</c:v>
                </c:pt>
                <c:pt idx="11">
                  <c:v>298</c:v>
                </c:pt>
                <c:pt idx="12">
                  <c:v>400</c:v>
                </c:pt>
                <c:pt idx="13">
                  <c:v>500</c:v>
                </c:pt>
                <c:pt idx="14">
                  <c:v>Winnick: Chemical Engineering Thermodynamics, p. 526</c:v>
                </c:pt>
                <c:pt idx="15">
                  <c:v>T[K]</c:v>
                </c:pt>
                <c:pt idx="16">
                  <c:v>800</c:v>
                </c:pt>
                <c:pt idx="17">
                  <c:v>原田義也：化学熱力学, p. 118 (2012)</c:v>
                </c:pt>
                <c:pt idx="18">
                  <c:v>T[K]</c:v>
                </c:pt>
                <c:pt idx="19">
                  <c:v>298</c:v>
                </c:pt>
                <c:pt idx="20">
                  <c:v>1000</c:v>
                </c:pt>
                <c:pt idx="21">
                  <c:v>Murphy Introduciton to Chemical Processses p. 318</c:v>
                </c:pt>
                <c:pt idx="22">
                  <c:v>T[K]</c:v>
                </c:pt>
                <c:pt idx="23">
                  <c:v>300</c:v>
                </c:pt>
                <c:pt idx="24">
                  <c:v>400</c:v>
                </c:pt>
                <c:pt idx="25">
                  <c:v>500</c:v>
                </c:pt>
                <c:pt idx="26">
                  <c:v>600</c:v>
                </c:pt>
                <c:pt idx="27">
                  <c:v>700</c:v>
                </c:pt>
                <c:pt idx="28">
                  <c:v>800</c:v>
                </c:pt>
              </c:strCache>
            </c:strRef>
          </c:xVal>
          <c:yVal>
            <c:numRef>
              <c:f>平衡定数アンモニア!$B$65:$B$92</c:f>
              <c:numCache>
                <c:formatCode>General</c:formatCode>
                <c:ptCount val="28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  <c:pt idx="10">
                  <c:v>0</c:v>
                </c:pt>
                <c:pt idx="11" formatCode="0.00E+00">
                  <c:v>680000</c:v>
                </c:pt>
                <c:pt idx="12">
                  <c:v>41</c:v>
                </c:pt>
                <c:pt idx="13" formatCode="0.00E+00">
                  <c:v>3.5999999999999997E-2</c:v>
                </c:pt>
                <c:pt idx="15">
                  <c:v>0</c:v>
                </c:pt>
                <c:pt idx="16" formatCode="0.00E+00">
                  <c:v>8.9299999999999992E-6</c:v>
                </c:pt>
                <c:pt idx="18">
                  <c:v>0</c:v>
                </c:pt>
                <c:pt idx="19" formatCode="0.00E+00">
                  <c:v>581000</c:v>
                </c:pt>
                <c:pt idx="20" formatCode="0.00E+00">
                  <c:v>2.8200000000000001E-7</c:v>
                </c:pt>
                <c:pt idx="22">
                  <c:v>0</c:v>
                </c:pt>
                <c:pt idx="23">
                  <c:v>514011.02827753447</c:v>
                </c:pt>
                <c:pt idx="24">
                  <c:v>49.402449105530103</c:v>
                </c:pt>
                <c:pt idx="25">
                  <c:v>0.19204990862075372</c:v>
                </c:pt>
                <c:pt idx="26">
                  <c:v>4.748150999411469E-3</c:v>
                </c:pt>
                <c:pt idx="27">
                  <c:v>3.3786736766244714E-4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8E31-4CD0-B5A3-2FD571877387}"/>
            </c:ext>
          </c:extLst>
        </c:ser>
        <c:ser>
          <c:idx val="10"/>
          <c:order val="26"/>
          <c:spPr>
            <a:ln w="19050">
              <a:noFill/>
            </a:ln>
          </c:spPr>
          <c:marker>
            <c:symbol val="none"/>
          </c:marker>
          <c:xVal>
            <c:numRef>
              <c:f>平衡定数アンモニア!$A$61:$A$62</c:f>
              <c:numCache>
                <c:formatCode>General</c:formatCode>
                <c:ptCount val="2"/>
                <c:pt idx="0">
                  <c:v>673</c:v>
                </c:pt>
                <c:pt idx="1">
                  <c:v>773</c:v>
                </c:pt>
              </c:numCache>
            </c:numRef>
          </c:xVal>
          <c:yVal>
            <c:numRef>
              <c:f>平衡定数アンモニア!$B$61:$B$62</c:f>
              <c:numCache>
                <c:formatCode>0.00E+00</c:formatCode>
                <c:ptCount val="2"/>
                <c:pt idx="0">
                  <c:v>1.64E-4</c:v>
                </c:pt>
                <c:pt idx="1">
                  <c:v>1.4399999999999999E-5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E31-4CD0-B5A3-2FD571877387}"/>
            </c:ext>
          </c:extLst>
        </c:ser>
        <c:ser>
          <c:idx val="11"/>
          <c:order val="27"/>
          <c:marker>
            <c:symbol val="none"/>
          </c:marker>
          <c:xVal>
            <c:numRef>
              <c:f>平衡定数アンモニア!$A$76:$A$78</c:f>
              <c:numCache>
                <c:formatCode>General</c:formatCode>
                <c:ptCount val="3"/>
                <c:pt idx="0">
                  <c:v>298</c:v>
                </c:pt>
                <c:pt idx="1">
                  <c:v>400</c:v>
                </c:pt>
                <c:pt idx="2">
                  <c:v>500</c:v>
                </c:pt>
              </c:numCache>
            </c:numRef>
          </c:xVal>
          <c:yVal>
            <c:numRef>
              <c:f>平衡定数アンモニア!$B$76:$B$78</c:f>
              <c:numCache>
                <c:formatCode>General</c:formatCode>
                <c:ptCount val="3"/>
                <c:pt idx="0" formatCode="0.00E+00">
                  <c:v>680000</c:v>
                </c:pt>
                <c:pt idx="1">
                  <c:v>41</c:v>
                </c:pt>
                <c:pt idx="2" formatCode="0.00E+00">
                  <c:v>3.5999999999999997E-2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E31-4CD0-B5A3-2FD571877387}"/>
            </c:ext>
          </c:extLst>
        </c:ser>
        <c:ser>
          <c:idx val="12"/>
          <c:order val="28"/>
          <c:marker>
            <c:symbol val="none"/>
          </c:marker>
          <c:xVal>
            <c:numRef>
              <c:f>平衡定数アンモニア!$A$81</c:f>
              <c:numCache>
                <c:formatCode>General</c:formatCode>
                <c:ptCount val="1"/>
                <c:pt idx="0">
                  <c:v>800</c:v>
                </c:pt>
              </c:numCache>
            </c:numRef>
          </c:xVal>
          <c:yVal>
            <c:numRef>
              <c:f>平衡定数アンモニア!$B$81</c:f>
              <c:numCache>
                <c:formatCode>0.00E+00</c:formatCode>
                <c:ptCount val="1"/>
                <c:pt idx="0">
                  <c:v>8.9299999999999992E-6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E31-4CD0-B5A3-2FD571877387}"/>
            </c:ext>
          </c:extLst>
        </c:ser>
        <c:ser>
          <c:idx val="13"/>
          <c:order val="29"/>
          <c:spPr>
            <a:ln>
              <a:noFill/>
            </a:ln>
          </c:spPr>
          <c:marker>
            <c:symbol val="none"/>
          </c:marker>
          <c:xVal>
            <c:numRef>
              <c:f>平衡定数アンモニア!$A$84:$A$85</c:f>
              <c:numCache>
                <c:formatCode>General</c:formatCode>
                <c:ptCount val="2"/>
                <c:pt idx="0">
                  <c:v>298</c:v>
                </c:pt>
                <c:pt idx="1">
                  <c:v>1000</c:v>
                </c:pt>
              </c:numCache>
            </c:numRef>
          </c:xVal>
          <c:yVal>
            <c:numRef>
              <c:f>平衡定数アンモニア!$B$84:$B$85</c:f>
              <c:numCache>
                <c:formatCode>0.00E+00</c:formatCode>
                <c:ptCount val="2"/>
                <c:pt idx="0">
                  <c:v>581000</c:v>
                </c:pt>
                <c:pt idx="1">
                  <c:v>2.8200000000000001E-7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8E31-4CD0-B5A3-2FD571877387}"/>
            </c:ext>
          </c:extLst>
        </c:ser>
        <c:ser>
          <c:idx val="14"/>
          <c:order val="30"/>
          <c:marker>
            <c:symbol val="none"/>
          </c:marker>
          <c:xVal>
            <c:numRef>
              <c:f>平衡定数アンモニア!$A$88:$A$95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平衡定数アンモニア!$B$88:$B$95</c:f>
              <c:numCache>
                <c:formatCode>General</c:formatCode>
                <c:ptCount val="8"/>
                <c:pt idx="0">
                  <c:v>514011.02827753447</c:v>
                </c:pt>
                <c:pt idx="1">
                  <c:v>49.402449105530103</c:v>
                </c:pt>
                <c:pt idx="2">
                  <c:v>0.19204990862075372</c:v>
                </c:pt>
                <c:pt idx="3">
                  <c:v>4.748150999411469E-3</c:v>
                </c:pt>
                <c:pt idx="4">
                  <c:v>3.3786736766244714E-4</c:v>
                </c:pt>
                <c:pt idx="5">
                  <c:v>4.654923445622269E-5</c:v>
                </c:pt>
                <c:pt idx="6">
                  <c:v>9.9626578787943985E-6</c:v>
                </c:pt>
                <c:pt idx="7">
                  <c:v>2.9023204086503985E-6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8E31-4CD0-B5A3-2FD571877387}"/>
            </c:ext>
          </c:extLst>
        </c:ser>
        <c:ser>
          <c:idx val="15"/>
          <c:order val="31"/>
          <c:spPr>
            <a:ln w="63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平衡定数アンモニア!$A$65:$A$73</c:f>
              <c:numCache>
                <c:formatCode>General</c:formatCode>
                <c:ptCount val="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平衡定数アンモニア!$B$65:$B$73</c:f>
              <c:numCache>
                <c:formatCode>General</c:formatCode>
                <c:ptCount val="9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8E31-4CD0-B5A3-2FD571877387}"/>
            </c:ext>
          </c:extLst>
        </c:ser>
        <c:ser>
          <c:idx val="16"/>
          <c:order val="32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平衡定数アンモニア!$J$2:$J$9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平衡定数アンモニア!$K$2:$K$9</c:f>
              <c:numCache>
                <c:formatCode>General</c:formatCode>
                <c:ptCount val="8"/>
                <c:pt idx="0">
                  <c:v>472584</c:v>
                </c:pt>
                <c:pt idx="1">
                  <c:v>37.49</c:v>
                </c:pt>
                <c:pt idx="2">
                  <c:v>0.1027</c:v>
                </c:pt>
                <c:pt idx="3">
                  <c:v>1.6999999999999999E-3</c:v>
                </c:pt>
                <c:pt idx="4" formatCode="0.00E+00">
                  <c:v>8.8999999999999995E-5</c:v>
                </c:pt>
                <c:pt idx="5" formatCode="0.00E+00">
                  <c:v>9.0350000000000007E-6</c:v>
                </c:pt>
                <c:pt idx="6" formatCode="0.00E+00">
                  <c:v>1.477E-6</c:v>
                </c:pt>
                <c:pt idx="7" formatCode="0.00E+00">
                  <c:v>3.3999999999999997E-7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8E31-4CD0-B5A3-2FD571877387}"/>
            </c:ext>
          </c:extLst>
        </c:ser>
        <c:ser>
          <c:idx val="17"/>
          <c:order val="33"/>
          <c:spPr>
            <a:ln w="19050">
              <a:noFill/>
            </a:ln>
          </c:spPr>
          <c:marker>
            <c:symbol val="none"/>
          </c:marker>
          <c:xVal>
            <c:strRef>
              <c:f>平衡定数アンモニア!$A$65:$A$93</c:f>
              <c:strCache>
                <c:ptCount val="2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Atkins&amp;Jones: Chemical Principles. 6th ed,  p. 428 (2013)</c:v>
                </c:pt>
                <c:pt idx="10">
                  <c:v>T[K]</c:v>
                </c:pt>
                <c:pt idx="11">
                  <c:v>298</c:v>
                </c:pt>
                <c:pt idx="12">
                  <c:v>400</c:v>
                </c:pt>
                <c:pt idx="13">
                  <c:v>500</c:v>
                </c:pt>
                <c:pt idx="14">
                  <c:v>Winnick: Chemical Engineering Thermodynamics, p. 526</c:v>
                </c:pt>
                <c:pt idx="15">
                  <c:v>T[K]</c:v>
                </c:pt>
                <c:pt idx="16">
                  <c:v>800</c:v>
                </c:pt>
                <c:pt idx="17">
                  <c:v>原田義也：化学熱力学, p. 118 (2012)</c:v>
                </c:pt>
                <c:pt idx="18">
                  <c:v>T[K]</c:v>
                </c:pt>
                <c:pt idx="19">
                  <c:v>298</c:v>
                </c:pt>
                <c:pt idx="20">
                  <c:v>1000</c:v>
                </c:pt>
                <c:pt idx="21">
                  <c:v>Murphy Introduciton to Chemical Processses p. 318</c:v>
                </c:pt>
                <c:pt idx="22">
                  <c:v>T[K]</c:v>
                </c:pt>
                <c:pt idx="23">
                  <c:v>300</c:v>
                </c:pt>
                <c:pt idx="24">
                  <c:v>400</c:v>
                </c:pt>
                <c:pt idx="25">
                  <c:v>500</c:v>
                </c:pt>
                <c:pt idx="26">
                  <c:v>600</c:v>
                </c:pt>
                <c:pt idx="27">
                  <c:v>700</c:v>
                </c:pt>
                <c:pt idx="28">
                  <c:v>800</c:v>
                </c:pt>
              </c:strCache>
            </c:strRef>
          </c:xVal>
          <c:yVal>
            <c:numRef>
              <c:f>平衡定数アンモニア!$B$65:$B$92</c:f>
              <c:numCache>
                <c:formatCode>General</c:formatCode>
                <c:ptCount val="28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  <c:pt idx="10">
                  <c:v>0</c:v>
                </c:pt>
                <c:pt idx="11" formatCode="0.00E+00">
                  <c:v>680000</c:v>
                </c:pt>
                <c:pt idx="12">
                  <c:v>41</c:v>
                </c:pt>
                <c:pt idx="13" formatCode="0.00E+00">
                  <c:v>3.5999999999999997E-2</c:v>
                </c:pt>
                <c:pt idx="15">
                  <c:v>0</c:v>
                </c:pt>
                <c:pt idx="16" formatCode="0.00E+00">
                  <c:v>8.9299999999999992E-6</c:v>
                </c:pt>
                <c:pt idx="18">
                  <c:v>0</c:v>
                </c:pt>
                <c:pt idx="19" formatCode="0.00E+00">
                  <c:v>581000</c:v>
                </c:pt>
                <c:pt idx="20" formatCode="0.00E+00">
                  <c:v>2.8200000000000001E-7</c:v>
                </c:pt>
                <c:pt idx="22">
                  <c:v>0</c:v>
                </c:pt>
                <c:pt idx="23">
                  <c:v>514011.02827753447</c:v>
                </c:pt>
                <c:pt idx="24">
                  <c:v>49.402449105530103</c:v>
                </c:pt>
                <c:pt idx="25">
                  <c:v>0.19204990862075372</c:v>
                </c:pt>
                <c:pt idx="26">
                  <c:v>4.748150999411469E-3</c:v>
                </c:pt>
                <c:pt idx="27">
                  <c:v>3.3786736766244714E-4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8E31-4CD0-B5A3-2FD571877387}"/>
            </c:ext>
          </c:extLst>
        </c:ser>
        <c:ser>
          <c:idx val="18"/>
          <c:order val="34"/>
          <c:spPr>
            <a:ln w="19050">
              <a:noFill/>
            </a:ln>
          </c:spPr>
          <c:marker>
            <c:symbol val="none"/>
          </c:marker>
          <c:xVal>
            <c:numRef>
              <c:f>平衡定数アンモニア!$A$61:$A$62</c:f>
              <c:numCache>
                <c:formatCode>General</c:formatCode>
                <c:ptCount val="2"/>
                <c:pt idx="0">
                  <c:v>673</c:v>
                </c:pt>
                <c:pt idx="1">
                  <c:v>773</c:v>
                </c:pt>
              </c:numCache>
            </c:numRef>
          </c:xVal>
          <c:yVal>
            <c:numRef>
              <c:f>平衡定数アンモニア!$B$61:$B$62</c:f>
              <c:numCache>
                <c:formatCode>0.00E+00</c:formatCode>
                <c:ptCount val="2"/>
                <c:pt idx="0">
                  <c:v>1.64E-4</c:v>
                </c:pt>
                <c:pt idx="1">
                  <c:v>1.4399999999999999E-5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8E31-4CD0-B5A3-2FD571877387}"/>
            </c:ext>
          </c:extLst>
        </c:ser>
        <c:ser>
          <c:idx val="19"/>
          <c:order val="35"/>
          <c:marker>
            <c:symbol val="none"/>
          </c:marker>
          <c:xVal>
            <c:numRef>
              <c:f>平衡定数アンモニア!$A$76:$A$78</c:f>
              <c:numCache>
                <c:formatCode>General</c:formatCode>
                <c:ptCount val="3"/>
                <c:pt idx="0">
                  <c:v>298</c:v>
                </c:pt>
                <c:pt idx="1">
                  <c:v>400</c:v>
                </c:pt>
                <c:pt idx="2">
                  <c:v>500</c:v>
                </c:pt>
              </c:numCache>
            </c:numRef>
          </c:xVal>
          <c:yVal>
            <c:numRef>
              <c:f>平衡定数アンモニア!$B$76:$B$78</c:f>
              <c:numCache>
                <c:formatCode>General</c:formatCode>
                <c:ptCount val="3"/>
                <c:pt idx="0" formatCode="0.00E+00">
                  <c:v>680000</c:v>
                </c:pt>
                <c:pt idx="1">
                  <c:v>41</c:v>
                </c:pt>
                <c:pt idx="2" formatCode="0.00E+00">
                  <c:v>3.5999999999999997E-2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8E31-4CD0-B5A3-2FD571877387}"/>
            </c:ext>
          </c:extLst>
        </c:ser>
        <c:ser>
          <c:idx val="20"/>
          <c:order val="36"/>
          <c:marker>
            <c:symbol val="none"/>
          </c:marker>
          <c:xVal>
            <c:numRef>
              <c:f>平衡定数アンモニア!$A$81</c:f>
              <c:numCache>
                <c:formatCode>General</c:formatCode>
                <c:ptCount val="1"/>
                <c:pt idx="0">
                  <c:v>800</c:v>
                </c:pt>
              </c:numCache>
            </c:numRef>
          </c:xVal>
          <c:yVal>
            <c:numRef>
              <c:f>平衡定数アンモニア!$B$81</c:f>
              <c:numCache>
                <c:formatCode>0.00E+00</c:formatCode>
                <c:ptCount val="1"/>
                <c:pt idx="0">
                  <c:v>8.9299999999999992E-6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8E31-4CD0-B5A3-2FD571877387}"/>
            </c:ext>
          </c:extLst>
        </c:ser>
        <c:ser>
          <c:idx val="21"/>
          <c:order val="37"/>
          <c:spPr>
            <a:ln>
              <a:noFill/>
            </a:ln>
          </c:spPr>
          <c:marker>
            <c:symbol val="none"/>
          </c:marker>
          <c:xVal>
            <c:numRef>
              <c:f>平衡定数アンモニア!$A$84:$A$85</c:f>
              <c:numCache>
                <c:formatCode>General</c:formatCode>
                <c:ptCount val="2"/>
                <c:pt idx="0">
                  <c:v>298</c:v>
                </c:pt>
                <c:pt idx="1">
                  <c:v>1000</c:v>
                </c:pt>
              </c:numCache>
            </c:numRef>
          </c:xVal>
          <c:yVal>
            <c:numRef>
              <c:f>平衡定数アンモニア!$B$84:$B$85</c:f>
              <c:numCache>
                <c:formatCode>0.00E+00</c:formatCode>
                <c:ptCount val="2"/>
                <c:pt idx="0">
                  <c:v>581000</c:v>
                </c:pt>
                <c:pt idx="1">
                  <c:v>2.8200000000000001E-7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8E31-4CD0-B5A3-2FD571877387}"/>
            </c:ext>
          </c:extLst>
        </c:ser>
        <c:ser>
          <c:idx val="22"/>
          <c:order val="38"/>
          <c:marker>
            <c:symbol val="none"/>
          </c:marker>
          <c:xVal>
            <c:numRef>
              <c:f>平衡定数アンモニア!$A$88:$A$95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平衡定数アンモニア!$B$88:$B$95</c:f>
              <c:numCache>
                <c:formatCode>General</c:formatCode>
                <c:ptCount val="8"/>
                <c:pt idx="0">
                  <c:v>514011.02827753447</c:v>
                </c:pt>
                <c:pt idx="1">
                  <c:v>49.402449105530103</c:v>
                </c:pt>
                <c:pt idx="2">
                  <c:v>0.19204990862075372</c:v>
                </c:pt>
                <c:pt idx="3">
                  <c:v>4.748150999411469E-3</c:v>
                </c:pt>
                <c:pt idx="4">
                  <c:v>3.3786736766244714E-4</c:v>
                </c:pt>
                <c:pt idx="5">
                  <c:v>4.654923445622269E-5</c:v>
                </c:pt>
                <c:pt idx="6">
                  <c:v>9.9626578787943985E-6</c:v>
                </c:pt>
                <c:pt idx="7">
                  <c:v>2.9023204086503985E-6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8E31-4CD0-B5A3-2FD571877387}"/>
            </c:ext>
          </c:extLst>
        </c:ser>
        <c:ser>
          <c:idx val="23"/>
          <c:order val="39"/>
          <c:spPr>
            <a:ln w="63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平衡定数アンモニア!$A$65:$A$73</c:f>
              <c:numCache>
                <c:formatCode>General</c:formatCode>
                <c:ptCount val="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平衡定数アンモニア!$B$65:$B$73</c:f>
              <c:numCache>
                <c:formatCode>General</c:formatCode>
                <c:ptCount val="9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8E31-4CD0-B5A3-2FD571877387}"/>
            </c:ext>
          </c:extLst>
        </c:ser>
        <c:ser>
          <c:idx val="0"/>
          <c:order val="4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平衡定数アンモニア!$J$2:$J$9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平衡定数アンモニア!$K$2:$K$9</c:f>
              <c:numCache>
                <c:formatCode>General</c:formatCode>
                <c:ptCount val="8"/>
                <c:pt idx="0">
                  <c:v>472584</c:v>
                </c:pt>
                <c:pt idx="1">
                  <c:v>37.49</c:v>
                </c:pt>
                <c:pt idx="2">
                  <c:v>0.1027</c:v>
                </c:pt>
                <c:pt idx="3">
                  <c:v>1.6999999999999999E-3</c:v>
                </c:pt>
                <c:pt idx="4" formatCode="0.00E+00">
                  <c:v>8.8999999999999995E-5</c:v>
                </c:pt>
                <c:pt idx="5" formatCode="0.00E+00">
                  <c:v>9.0350000000000007E-6</c:v>
                </c:pt>
                <c:pt idx="6" formatCode="0.00E+00">
                  <c:v>1.477E-6</c:v>
                </c:pt>
                <c:pt idx="7" formatCode="0.00E+00">
                  <c:v>3.3999999999999997E-7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8-8E31-4CD0-B5A3-2FD571877387}"/>
            </c:ext>
          </c:extLst>
        </c:ser>
        <c:ser>
          <c:idx val="1"/>
          <c:order val="41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strRef>
              <c:f>平衡定数アンモニア!$A$65:$A$93</c:f>
              <c:strCache>
                <c:ptCount val="2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Atkins&amp;Jones: Chemical Principles. 6th ed,  p. 428 (2013)</c:v>
                </c:pt>
                <c:pt idx="10">
                  <c:v>T[K]</c:v>
                </c:pt>
                <c:pt idx="11">
                  <c:v>298</c:v>
                </c:pt>
                <c:pt idx="12">
                  <c:v>400</c:v>
                </c:pt>
                <c:pt idx="13">
                  <c:v>500</c:v>
                </c:pt>
                <c:pt idx="14">
                  <c:v>Winnick: Chemical Engineering Thermodynamics, p. 526</c:v>
                </c:pt>
                <c:pt idx="15">
                  <c:v>T[K]</c:v>
                </c:pt>
                <c:pt idx="16">
                  <c:v>800</c:v>
                </c:pt>
                <c:pt idx="17">
                  <c:v>原田義也：化学熱力学, p. 118 (2012)</c:v>
                </c:pt>
                <c:pt idx="18">
                  <c:v>T[K]</c:v>
                </c:pt>
                <c:pt idx="19">
                  <c:v>298</c:v>
                </c:pt>
                <c:pt idx="20">
                  <c:v>1000</c:v>
                </c:pt>
                <c:pt idx="21">
                  <c:v>Murphy Introduciton to Chemical Processses p. 318</c:v>
                </c:pt>
                <c:pt idx="22">
                  <c:v>T[K]</c:v>
                </c:pt>
                <c:pt idx="23">
                  <c:v>300</c:v>
                </c:pt>
                <c:pt idx="24">
                  <c:v>400</c:v>
                </c:pt>
                <c:pt idx="25">
                  <c:v>500</c:v>
                </c:pt>
                <c:pt idx="26">
                  <c:v>600</c:v>
                </c:pt>
                <c:pt idx="27">
                  <c:v>700</c:v>
                </c:pt>
                <c:pt idx="28">
                  <c:v>800</c:v>
                </c:pt>
              </c:strCache>
            </c:strRef>
          </c:xVal>
          <c:yVal>
            <c:numRef>
              <c:f>平衡定数アンモニア!$B$65:$B$92</c:f>
              <c:numCache>
                <c:formatCode>General</c:formatCode>
                <c:ptCount val="28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  <c:pt idx="10">
                  <c:v>0</c:v>
                </c:pt>
                <c:pt idx="11" formatCode="0.00E+00">
                  <c:v>680000</c:v>
                </c:pt>
                <c:pt idx="12">
                  <c:v>41</c:v>
                </c:pt>
                <c:pt idx="13" formatCode="0.00E+00">
                  <c:v>3.5999999999999997E-2</c:v>
                </c:pt>
                <c:pt idx="15">
                  <c:v>0</c:v>
                </c:pt>
                <c:pt idx="16" formatCode="0.00E+00">
                  <c:v>8.9299999999999992E-6</c:v>
                </c:pt>
                <c:pt idx="18">
                  <c:v>0</c:v>
                </c:pt>
                <c:pt idx="19" formatCode="0.00E+00">
                  <c:v>581000</c:v>
                </c:pt>
                <c:pt idx="20" formatCode="0.00E+00">
                  <c:v>2.8200000000000001E-7</c:v>
                </c:pt>
                <c:pt idx="22">
                  <c:v>0</c:v>
                </c:pt>
                <c:pt idx="23">
                  <c:v>514011.02827753447</c:v>
                </c:pt>
                <c:pt idx="24">
                  <c:v>49.402449105530103</c:v>
                </c:pt>
                <c:pt idx="25">
                  <c:v>0.19204990862075372</c:v>
                </c:pt>
                <c:pt idx="26">
                  <c:v>4.748150999411469E-3</c:v>
                </c:pt>
                <c:pt idx="27">
                  <c:v>3.3786736766244714E-4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8E31-4CD0-B5A3-2FD571877387}"/>
            </c:ext>
          </c:extLst>
        </c:ser>
        <c:ser>
          <c:idx val="2"/>
          <c:order val="42"/>
          <c:spPr>
            <a:ln w="19050">
              <a:noFill/>
            </a:ln>
          </c:spPr>
          <c:marker>
            <c:symbol val="square"/>
            <c:size val="8"/>
            <c:spPr>
              <a:noFill/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平衡定数アンモニア!$A$61:$A$62</c:f>
              <c:numCache>
                <c:formatCode>General</c:formatCode>
                <c:ptCount val="2"/>
                <c:pt idx="0">
                  <c:v>673</c:v>
                </c:pt>
                <c:pt idx="1">
                  <c:v>773</c:v>
                </c:pt>
              </c:numCache>
            </c:numRef>
          </c:xVal>
          <c:yVal>
            <c:numRef>
              <c:f>平衡定数アンモニア!$B$61:$B$62</c:f>
              <c:numCache>
                <c:formatCode>0.00E+00</c:formatCode>
                <c:ptCount val="2"/>
                <c:pt idx="0">
                  <c:v>1.64E-4</c:v>
                </c:pt>
                <c:pt idx="1">
                  <c:v>1.4399999999999999E-5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8E31-4CD0-B5A3-2FD571877387}"/>
            </c:ext>
          </c:extLst>
        </c:ser>
        <c:ser>
          <c:idx val="4"/>
          <c:order val="43"/>
          <c:marker>
            <c:symbol val="x"/>
            <c:size val="7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xVal>
            <c:numRef>
              <c:f>平衡定数アンモニア!$A$76:$A$78</c:f>
              <c:numCache>
                <c:formatCode>General</c:formatCode>
                <c:ptCount val="3"/>
                <c:pt idx="0">
                  <c:v>298</c:v>
                </c:pt>
                <c:pt idx="1">
                  <c:v>400</c:v>
                </c:pt>
                <c:pt idx="2">
                  <c:v>500</c:v>
                </c:pt>
              </c:numCache>
            </c:numRef>
          </c:xVal>
          <c:yVal>
            <c:numRef>
              <c:f>平衡定数アンモニア!$B$76:$B$78</c:f>
              <c:numCache>
                <c:formatCode>General</c:formatCode>
                <c:ptCount val="3"/>
                <c:pt idx="0" formatCode="0.00E+00">
                  <c:v>680000</c:v>
                </c:pt>
                <c:pt idx="1">
                  <c:v>41</c:v>
                </c:pt>
                <c:pt idx="2" formatCode="0.00E+00">
                  <c:v>3.5999999999999997E-2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8E31-4CD0-B5A3-2FD571877387}"/>
            </c:ext>
          </c:extLst>
        </c:ser>
        <c:ser>
          <c:idx val="3"/>
          <c:order val="44"/>
          <c:marker>
            <c:symbol val="triangle"/>
            <c:size val="8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平衡定数アンモニア!$A$81</c:f>
              <c:numCache>
                <c:formatCode>General</c:formatCode>
                <c:ptCount val="1"/>
                <c:pt idx="0">
                  <c:v>800</c:v>
                </c:pt>
              </c:numCache>
            </c:numRef>
          </c:xVal>
          <c:yVal>
            <c:numRef>
              <c:f>平衡定数アンモニア!$B$81</c:f>
              <c:numCache>
                <c:formatCode>0.00E+00</c:formatCode>
                <c:ptCount val="1"/>
                <c:pt idx="0">
                  <c:v>8.9299999999999992E-6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8E31-4CD0-B5A3-2FD571877387}"/>
            </c:ext>
          </c:extLst>
        </c:ser>
        <c:ser>
          <c:idx val="5"/>
          <c:order val="45"/>
          <c:spPr>
            <a:ln>
              <a:noFill/>
            </a:ln>
          </c:spPr>
          <c:marker>
            <c:symbol val="diamond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平衡定数アンモニア!$A$84:$A$85</c:f>
              <c:numCache>
                <c:formatCode>General</c:formatCode>
                <c:ptCount val="2"/>
                <c:pt idx="0">
                  <c:v>298</c:v>
                </c:pt>
                <c:pt idx="1">
                  <c:v>1000</c:v>
                </c:pt>
              </c:numCache>
            </c:numRef>
          </c:xVal>
          <c:yVal>
            <c:numRef>
              <c:f>平衡定数アンモニア!$B$84:$B$85</c:f>
              <c:numCache>
                <c:formatCode>0.00E+00</c:formatCode>
                <c:ptCount val="2"/>
                <c:pt idx="0">
                  <c:v>581000</c:v>
                </c:pt>
                <c:pt idx="1">
                  <c:v>2.8200000000000001E-7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8E31-4CD0-B5A3-2FD571877387}"/>
            </c:ext>
          </c:extLst>
        </c:ser>
        <c:ser>
          <c:idx val="6"/>
          <c:order val="46"/>
          <c:marker>
            <c:symbol val="none"/>
          </c:marker>
          <c:xVal>
            <c:numRef>
              <c:f>平衡定数アンモニア!$A$88:$A$95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平衡定数アンモニア!$B$88:$B$95</c:f>
              <c:numCache>
                <c:formatCode>General</c:formatCode>
                <c:ptCount val="8"/>
                <c:pt idx="0">
                  <c:v>514011.02827753447</c:v>
                </c:pt>
                <c:pt idx="1">
                  <c:v>49.402449105530103</c:v>
                </c:pt>
                <c:pt idx="2">
                  <c:v>0.19204990862075372</c:v>
                </c:pt>
                <c:pt idx="3">
                  <c:v>4.748150999411469E-3</c:v>
                </c:pt>
                <c:pt idx="4">
                  <c:v>3.3786736766244714E-4</c:v>
                </c:pt>
                <c:pt idx="5">
                  <c:v>4.654923445622269E-5</c:v>
                </c:pt>
                <c:pt idx="6">
                  <c:v>9.9626578787943985E-6</c:v>
                </c:pt>
                <c:pt idx="7">
                  <c:v>2.9023204086503985E-6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8E31-4CD0-B5A3-2FD571877387}"/>
            </c:ext>
          </c:extLst>
        </c:ser>
        <c:ser>
          <c:idx val="7"/>
          <c:order val="47"/>
          <c:spPr>
            <a:ln w="63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平衡定数アンモニア!$A$65:$A$73</c:f>
              <c:numCache>
                <c:formatCode>General</c:formatCode>
                <c:ptCount val="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平衡定数アンモニア!$B$65:$B$73</c:f>
              <c:numCache>
                <c:formatCode>General</c:formatCode>
                <c:ptCount val="9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8E31-4CD0-B5A3-2FD571877387}"/>
            </c:ext>
          </c:extLst>
        </c:ser>
        <c:ser>
          <c:idx val="48"/>
          <c:order val="48"/>
          <c:spPr>
            <a:ln>
              <a:noFill/>
            </a:ln>
          </c:spPr>
          <c:marker>
            <c:symbol val="triangle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平衡定数アンモニア!$A$98:$A$101</c:f>
              <c:numCache>
                <c:formatCode>General</c:formatCode>
                <c:ptCount val="4"/>
                <c:pt idx="0">
                  <c:v>400</c:v>
                </c:pt>
                <c:pt idx="1">
                  <c:v>500</c:v>
                </c:pt>
                <c:pt idx="2">
                  <c:v>700</c:v>
                </c:pt>
                <c:pt idx="3">
                  <c:v>900</c:v>
                </c:pt>
              </c:numCache>
            </c:numRef>
          </c:xVal>
          <c:yVal>
            <c:numRef>
              <c:f>平衡定数アンモニア!$B$98:$B$101</c:f>
              <c:numCache>
                <c:formatCode>General</c:formatCode>
                <c:ptCount val="4"/>
                <c:pt idx="0">
                  <c:v>39.85</c:v>
                </c:pt>
                <c:pt idx="1">
                  <c:v>0.112</c:v>
                </c:pt>
                <c:pt idx="2" formatCode="0.00E+00">
                  <c:v>9.9500000000000006E-5</c:v>
                </c:pt>
                <c:pt idx="3" formatCode="0.00E+00">
                  <c:v>1.6500000000000001E-6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8E31-4CD0-B5A3-2FD571877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413992"/>
        <c:axId val="381293984"/>
      </c:scatterChart>
      <c:valAx>
        <c:axId val="381413992"/>
        <c:scaling>
          <c:orientation val="minMax"/>
          <c:max val="1000"/>
          <c:min val="2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 [K]</a:t>
                </a:r>
              </a:p>
            </c:rich>
          </c:tx>
          <c:layout>
            <c:manualLayout>
              <c:xMode val="edge"/>
              <c:yMode val="edge"/>
              <c:x val="0.4786614856536423"/>
              <c:y val="0.88907915179142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293984"/>
        <c:crossesAt val="1E-8"/>
        <c:crossBetween val="midCat"/>
        <c:majorUnit val="100"/>
      </c:valAx>
      <c:valAx>
        <c:axId val="381293984"/>
        <c:scaling>
          <c:logBase val="10"/>
          <c:orientation val="minMax"/>
          <c:max val="1000000"/>
          <c:min val="9.9999999999999995E-8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平衡定数　K</a:t>
                </a:r>
              </a:p>
            </c:rich>
          </c:tx>
          <c:layout>
            <c:manualLayout>
              <c:xMode val="edge"/>
              <c:yMode val="edge"/>
              <c:x val="6.5789837328719802E-3"/>
              <c:y val="0.30888238743172941"/>
            </c:manualLayout>
          </c:layout>
          <c:overlay val="0"/>
          <c:spPr>
            <a:noFill/>
            <a:ln w="25400">
              <a:noFill/>
            </a:ln>
          </c:spPr>
        </c:title>
        <c:numFmt formatCode="0.E+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413992"/>
        <c:crosses val="autoZero"/>
        <c:crossBetween val="midCat"/>
        <c:majorUnit val="10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ja-JP"/>
              <a:t>プロパン分解反応熱の</a:t>
            </a:r>
            <a:r>
              <a:rPr lang="ja-JP" altLang="en-US"/>
              <a:t>平衡定数 </a:t>
            </a:r>
            <a:r>
              <a:rPr lang="en-US" altLang="ja-JP"/>
              <a:t>K</a:t>
            </a:r>
            <a:endParaRPr lang="ja-JP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97914208651655"/>
          <c:y val="0.2124542124542125"/>
          <c:w val="0.74932653875226274"/>
          <c:h val="0.67163207163207161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'平衡定数プロパン分解 '!$N$4:$N$9</c:f>
              <c:numCache>
                <c:formatCode>General</c:formatCode>
                <c:ptCount val="6"/>
                <c:pt idx="0">
                  <c:v>400</c:v>
                </c:pt>
                <c:pt idx="1">
                  <c:v>600</c:v>
                </c:pt>
                <c:pt idx="2">
                  <c:v>800</c:v>
                </c:pt>
                <c:pt idx="3">
                  <c:v>1000</c:v>
                </c:pt>
                <c:pt idx="4">
                  <c:v>1200</c:v>
                </c:pt>
                <c:pt idx="5">
                  <c:v>1300</c:v>
                </c:pt>
              </c:numCache>
            </c:numRef>
          </c:xVal>
          <c:yVal>
            <c:numRef>
              <c:f>'平衡定数プロパン分解 '!$P$4:$P$9</c:f>
              <c:numCache>
                <c:formatCode>General</c:formatCode>
                <c:ptCount val="6"/>
                <c:pt idx="0">
                  <c:v>-21.996231512759298</c:v>
                </c:pt>
                <c:pt idx="1">
                  <c:v>-9.2511623664964375</c:v>
                </c:pt>
                <c:pt idx="2">
                  <c:v>-2.8051119139453413</c:v>
                </c:pt>
                <c:pt idx="3">
                  <c:v>1.0818051703517284</c:v>
                </c:pt>
                <c:pt idx="4">
                  <c:v>3.6696966346971625</c:v>
                </c:pt>
                <c:pt idx="5">
                  <c:v>4.6577626361072619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20-40E3-8F0B-0BAEBFCF8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394248"/>
        <c:axId val="383394640"/>
      </c:scatterChart>
      <c:valAx>
        <c:axId val="383394248"/>
        <c:scaling>
          <c:orientation val="minMax"/>
          <c:max val="14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200"/>
                  <a:t>T [K]</a:t>
                </a:r>
                <a:endParaRPr lang="ja-JP" altLang="en-US" sz="1200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394640"/>
        <c:crosses val="autoZero"/>
        <c:crossBetween val="midCat"/>
        <c:majorUnit val="200"/>
      </c:valAx>
      <c:valAx>
        <c:axId val="383394640"/>
        <c:scaling>
          <c:orientation val="minMax"/>
          <c:max val="1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200"/>
                  <a:t>ln K</a:t>
                </a:r>
                <a:endParaRPr lang="ja-JP" altLang="en-US" sz="1200"/>
              </a:p>
            </c:rich>
          </c:tx>
          <c:layout>
            <c:manualLayout>
              <c:xMode val="edge"/>
              <c:yMode val="edge"/>
              <c:x val="2.821295475946272E-2"/>
              <c:y val="0.43573980122893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383394248"/>
        <c:crosses val="autoZero"/>
        <c:crossBetween val="midCat"/>
        <c:majorUnit val="10"/>
        <c:minorUnit val="5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28600173581536"/>
          <c:y val="5.8823754686560537E-2"/>
          <c:w val="0.7472537496428433"/>
          <c:h val="0.713728223530267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平衡定数アンモニア!$B$38</c:f>
              <c:strCache>
                <c:ptCount val="1"/>
                <c:pt idx="0">
                  <c:v>200℃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平衡定数アンモニア!$A$39:$A$43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numCache>
            </c:numRef>
          </c:xVal>
          <c:yVal>
            <c:numRef>
              <c:f>平衡定数アンモニア!$B$39:$B$43</c:f>
              <c:numCache>
                <c:formatCode>General</c:formatCode>
                <c:ptCount val="5"/>
                <c:pt idx="0">
                  <c:v>0.84599999999999997</c:v>
                </c:pt>
                <c:pt idx="1">
                  <c:v>0.89</c:v>
                </c:pt>
                <c:pt idx="2">
                  <c:v>0.91</c:v>
                </c:pt>
                <c:pt idx="3">
                  <c:v>0.92200000000000004</c:v>
                </c:pt>
                <c:pt idx="4">
                  <c:v>0.93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10F-4859-89B2-35270FBAD577}"/>
            </c:ext>
          </c:extLst>
        </c:ser>
        <c:ser>
          <c:idx val="1"/>
          <c:order val="1"/>
          <c:tx>
            <c:strRef>
              <c:f>平衡定数アンモニア!$C$38</c:f>
              <c:strCache>
                <c:ptCount val="1"/>
                <c:pt idx="0">
                  <c:v>400℃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平衡定数アンモニア!$A$39:$A$43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numCache>
            </c:numRef>
          </c:xVal>
          <c:yVal>
            <c:numRef>
              <c:f>平衡定数アンモニア!$C$39:$C$43</c:f>
              <c:numCache>
                <c:formatCode>General</c:formatCode>
                <c:ptCount val="5"/>
                <c:pt idx="0">
                  <c:v>0.27100000000000002</c:v>
                </c:pt>
                <c:pt idx="1">
                  <c:v>0.39800000000000002</c:v>
                </c:pt>
                <c:pt idx="2">
                  <c:v>0.47599999999999998</c:v>
                </c:pt>
                <c:pt idx="3">
                  <c:v>0.53</c:v>
                </c:pt>
                <c:pt idx="4">
                  <c:v>0.56999999999999995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0F-4859-89B2-35270FBAD577}"/>
            </c:ext>
          </c:extLst>
        </c:ser>
        <c:ser>
          <c:idx val="2"/>
          <c:order val="2"/>
          <c:tx>
            <c:strRef>
              <c:f>平衡定数アンモニア!$D$38</c:f>
              <c:strCache>
                <c:ptCount val="1"/>
                <c:pt idx="0">
                  <c:v>500℃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平衡定数アンモニア!$A$39:$A$43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numCache>
            </c:numRef>
          </c:xVal>
          <c:yVal>
            <c:numRef>
              <c:f>平衡定数アンモニア!$D$39:$D$43</c:f>
              <c:numCache>
                <c:formatCode>General</c:formatCode>
                <c:ptCount val="5"/>
                <c:pt idx="0">
                  <c:v>0.109</c:v>
                </c:pt>
                <c:pt idx="1">
                  <c:v>0.188</c:v>
                </c:pt>
                <c:pt idx="2">
                  <c:v>0.249</c:v>
                </c:pt>
                <c:pt idx="3">
                  <c:v>0.29899999999999999</c:v>
                </c:pt>
                <c:pt idx="4">
                  <c:v>0.33900000000000002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10F-4859-89B2-35270FBAD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949008"/>
        <c:axId val="279936840"/>
      </c:scatterChart>
      <c:valAx>
        <c:axId val="279949008"/>
        <c:scaling>
          <c:orientation val="minMax"/>
          <c:max val="25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圧力[ MPa]</a:t>
                </a:r>
              </a:p>
            </c:rich>
          </c:tx>
          <c:layout>
            <c:manualLayout>
              <c:xMode val="edge"/>
              <c:yMode val="edge"/>
              <c:x val="0.4835171517192059"/>
              <c:y val="0.88235642675951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936840"/>
        <c:crosses val="autoZero"/>
        <c:crossBetween val="midCat"/>
        <c:majorUnit val="5"/>
      </c:valAx>
      <c:valAx>
        <c:axId val="2799368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転化率</a:t>
                </a:r>
              </a:p>
            </c:rich>
          </c:tx>
          <c:layout>
            <c:manualLayout>
              <c:xMode val="edge"/>
              <c:yMode val="edge"/>
              <c:x val="7.4175560969142046E-2"/>
              <c:y val="0.321569956872904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949008"/>
        <c:crosses val="autoZero"/>
        <c:crossBetween val="midCat"/>
        <c:majorUnit val="0.2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アンモニア生成反応平衡定数</a:t>
            </a:r>
          </a:p>
        </c:rich>
      </c:tx>
      <c:layout>
        <c:manualLayout>
          <c:xMode val="edge"/>
          <c:yMode val="edge"/>
          <c:x val="0.29411762997343821"/>
          <c:y val="8.9041299143946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79679144385027"/>
          <c:y val="4.7945285653369897E-2"/>
          <c:w val="0.76470588235294112"/>
          <c:h val="0.7260286113224584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平衡定数アンモニア!$L$2:$L$9</c:f>
              <c:numCache>
                <c:formatCode>General</c:formatCode>
                <c:ptCount val="8"/>
                <c:pt idx="0">
                  <c:v>3.3333333333333335E-3</c:v>
                </c:pt>
                <c:pt idx="1">
                  <c:v>2.5000000000000001E-3</c:v>
                </c:pt>
                <c:pt idx="2">
                  <c:v>2E-3</c:v>
                </c:pt>
                <c:pt idx="3">
                  <c:v>1.6666666666666668E-3</c:v>
                </c:pt>
                <c:pt idx="4">
                  <c:v>1.4285714285714286E-3</c:v>
                </c:pt>
                <c:pt idx="5">
                  <c:v>1.25E-3</c:v>
                </c:pt>
                <c:pt idx="6">
                  <c:v>1.1111111111111111E-3</c:v>
                </c:pt>
                <c:pt idx="7">
                  <c:v>1E-3</c:v>
                </c:pt>
              </c:numCache>
            </c:numRef>
          </c:xVal>
          <c:yVal>
            <c:numRef>
              <c:f>平衡定数アンモニア!$M$2:$M$9</c:f>
              <c:numCache>
                <c:formatCode>General</c:formatCode>
                <c:ptCount val="8"/>
                <c:pt idx="0">
                  <c:v>13.065970787893116</c:v>
                </c:pt>
                <c:pt idx="1">
                  <c:v>3.6240742307478206</c:v>
                </c:pt>
                <c:pt idx="2">
                  <c:v>-2.2759431620476245</c:v>
                </c:pt>
                <c:pt idx="3">
                  <c:v>-6.3771270279199666</c:v>
                </c:pt>
                <c:pt idx="4">
                  <c:v>-9.326874188232134</c:v>
                </c:pt>
                <c:pt idx="5">
                  <c:v>-11.614404633920083</c:v>
                </c:pt>
                <c:pt idx="6">
                  <c:v>-13.425497554415031</c:v>
                </c:pt>
                <c:pt idx="7">
                  <c:v>-14.894320219336205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65-47B6-A44B-F358F031C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768080"/>
        <c:axId val="279916840"/>
      </c:scatterChart>
      <c:valAx>
        <c:axId val="382768080"/>
        <c:scaling>
          <c:orientation val="minMax"/>
          <c:max val="3.5000000000000001E-3"/>
          <c:min val="1E-3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1/T [1/K]</a:t>
                </a:r>
              </a:p>
            </c:rich>
          </c:tx>
          <c:layout>
            <c:manualLayout>
              <c:xMode val="edge"/>
              <c:yMode val="edge"/>
              <c:x val="0.43315533494146674"/>
              <c:y val="0.876713732184392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916840"/>
        <c:crossesAt val="-20"/>
        <c:crossBetween val="midCat"/>
        <c:majorUnit val="5.0000000000000001E-4"/>
        <c:minorUnit val="1E-4"/>
      </c:valAx>
      <c:valAx>
        <c:axId val="279916840"/>
        <c:scaling>
          <c:orientation val="minMax"/>
          <c:max val="2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ln K</a:t>
                </a:r>
              </a:p>
            </c:rich>
          </c:tx>
          <c:layout>
            <c:manualLayout>
              <c:xMode val="edge"/>
              <c:yMode val="edge"/>
              <c:x val="2.4064201410723182E-2"/>
              <c:y val="0.36301411965531766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768080"/>
        <c:crosses val="autoZero"/>
        <c:crossBetween val="midCat"/>
        <c:majorUnit val="5"/>
        <c:minorUnit val="1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22994652406418"/>
          <c:y val="4.7945285653369897E-2"/>
          <c:w val="0.73796791443850263"/>
          <c:h val="0.7260286113224584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平衡定数アンモニア!$J$2:$J$9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平衡定数アンモニア!$K$2:$K$9</c:f>
              <c:numCache>
                <c:formatCode>General</c:formatCode>
                <c:ptCount val="8"/>
                <c:pt idx="0">
                  <c:v>472584</c:v>
                </c:pt>
                <c:pt idx="1">
                  <c:v>37.49</c:v>
                </c:pt>
                <c:pt idx="2">
                  <c:v>0.1027</c:v>
                </c:pt>
                <c:pt idx="3">
                  <c:v>1.6999999999999999E-3</c:v>
                </c:pt>
                <c:pt idx="4" formatCode="0.00E+00">
                  <c:v>8.8999999999999995E-5</c:v>
                </c:pt>
                <c:pt idx="5" formatCode="0.00E+00">
                  <c:v>9.0350000000000007E-6</c:v>
                </c:pt>
                <c:pt idx="6" formatCode="0.00E+00">
                  <c:v>1.477E-6</c:v>
                </c:pt>
                <c:pt idx="7" formatCode="0.00E+00">
                  <c:v>3.3999999999999997E-7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94F-45CA-96A0-69DC2A3FFF3C}"/>
            </c:ext>
          </c:extLst>
        </c:ser>
        <c:ser>
          <c:idx val="1"/>
          <c:order val="1"/>
          <c:spPr>
            <a:ln w="19050"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平衡定数アンモニア!$A$47:$A$53</c:f>
              <c:numCache>
                <c:formatCode>General</c:formatCode>
                <c:ptCount val="7"/>
                <c:pt idx="0">
                  <c:v>298</c:v>
                </c:pt>
                <c:pt idx="1">
                  <c:v>398</c:v>
                </c:pt>
                <c:pt idx="2">
                  <c:v>500</c:v>
                </c:pt>
                <c:pt idx="3">
                  <c:v>598</c:v>
                </c:pt>
                <c:pt idx="4">
                  <c:v>698</c:v>
                </c:pt>
                <c:pt idx="5">
                  <c:v>850</c:v>
                </c:pt>
                <c:pt idx="6">
                  <c:v>1000</c:v>
                </c:pt>
              </c:numCache>
            </c:numRef>
          </c:xVal>
          <c:yVal>
            <c:numRef>
              <c:f>平衡定数アンモニア!$B$47:$B$53</c:f>
              <c:numCache>
                <c:formatCode>General</c:formatCode>
                <c:ptCount val="7"/>
                <c:pt idx="0" formatCode="0.00E+00">
                  <c:v>610000</c:v>
                </c:pt>
                <c:pt idx="1">
                  <c:v>53.067368966157467</c:v>
                </c:pt>
                <c:pt idx="2">
                  <c:v>0.1804542067957477</c:v>
                </c:pt>
                <c:pt idx="3">
                  <c:v>4.7632738712517367E-3</c:v>
                </c:pt>
                <c:pt idx="4">
                  <c:v>3.3429272837632733E-4</c:v>
                </c:pt>
                <c:pt idx="5">
                  <c:v>1.9512674151127048E-5</c:v>
                </c:pt>
                <c:pt idx="6">
                  <c:v>2.7570769546609579E-6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4F-45CA-96A0-69DC2A3FF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736456"/>
        <c:axId val="279736848"/>
      </c:scatterChart>
      <c:valAx>
        <c:axId val="279736456"/>
        <c:scaling>
          <c:orientation val="minMax"/>
          <c:max val="1000"/>
          <c:min val="3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 [K]</a:t>
                </a:r>
              </a:p>
            </c:rich>
          </c:tx>
          <c:layout>
            <c:manualLayout>
              <c:xMode val="edge"/>
              <c:yMode val="edge"/>
              <c:x val="0.47860942731476674"/>
              <c:y val="0.880138363340516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736848"/>
        <c:crossesAt val="1E-8"/>
        <c:crossBetween val="midCat"/>
        <c:majorUnit val="100"/>
      </c:valAx>
      <c:valAx>
        <c:axId val="279736848"/>
        <c:scaling>
          <c:logBase val="10"/>
          <c:orientation val="minMax"/>
          <c:max val="1000000"/>
          <c:min val="9.9999999999999995E-8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平衡定数　K</a:t>
                </a:r>
              </a:p>
            </c:rich>
          </c:tx>
          <c:layout>
            <c:manualLayout>
              <c:xMode val="edge"/>
              <c:yMode val="edge"/>
              <c:x val="0"/>
              <c:y val="0.26141587897884055"/>
            </c:manualLayout>
          </c:layout>
          <c:overlay val="0"/>
          <c:spPr>
            <a:noFill/>
            <a:ln w="25400">
              <a:noFill/>
            </a:ln>
          </c:spPr>
        </c:title>
        <c:numFmt formatCode="0.E+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279736456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22994652406418"/>
          <c:y val="4.7945285653369897E-2"/>
          <c:w val="0.73796791443850263"/>
          <c:h val="0.7260286113224584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平衡定数アンモニア!$J$2:$J$9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平衡定数アンモニア!$N$2:$N$9</c:f>
              <c:numCache>
                <c:formatCode>General</c:formatCode>
                <c:ptCount val="8"/>
                <c:pt idx="0">
                  <c:v>5.6744790138910641</c:v>
                </c:pt>
                <c:pt idx="1">
                  <c:v>1.5739154404215507</c:v>
                </c:pt>
                <c:pt idx="2">
                  <c:v>-0.98842955640272179</c:v>
                </c:pt>
                <c:pt idx="3">
                  <c:v>-2.7695510786217259</c:v>
                </c:pt>
                <c:pt idx="4">
                  <c:v>-4.0506099933550876</c:v>
                </c:pt>
                <c:pt idx="5">
                  <c:v>-5.0440718431030493</c:v>
                </c:pt>
                <c:pt idx="6">
                  <c:v>-5.8306195046880509</c:v>
                </c:pt>
                <c:pt idx="7">
                  <c:v>-6.4685210829577446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C5-40A4-87F2-CC670E96B8A2}"/>
            </c:ext>
          </c:extLst>
        </c:ser>
        <c:ser>
          <c:idx val="1"/>
          <c:order val="1"/>
          <c:spPr>
            <a:ln w="19050"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平衡定数アンモニア!$A$47:$A$53</c:f>
              <c:numCache>
                <c:formatCode>General</c:formatCode>
                <c:ptCount val="7"/>
                <c:pt idx="0">
                  <c:v>298</c:v>
                </c:pt>
                <c:pt idx="1">
                  <c:v>398</c:v>
                </c:pt>
                <c:pt idx="2">
                  <c:v>500</c:v>
                </c:pt>
                <c:pt idx="3">
                  <c:v>598</c:v>
                </c:pt>
                <c:pt idx="4">
                  <c:v>698</c:v>
                </c:pt>
                <c:pt idx="5">
                  <c:v>850</c:v>
                </c:pt>
                <c:pt idx="6">
                  <c:v>1000</c:v>
                </c:pt>
              </c:numCache>
            </c:numRef>
          </c:xVal>
          <c:yVal>
            <c:numRef>
              <c:f>平衡定数アンモニア!$D$47:$D$53</c:f>
              <c:numCache>
                <c:formatCode>General</c:formatCode>
                <c:ptCount val="7"/>
                <c:pt idx="0">
                  <c:v>5.7853298350107671</c:v>
                </c:pt>
                <c:pt idx="1">
                  <c:v>1.7248275562217226</c:v>
                </c:pt>
                <c:pt idx="2">
                  <c:v>-0.74363298909971398</c:v>
                </c:pt>
                <c:pt idx="3">
                  <c:v>-2.322094447387427</c:v>
                </c:pt>
                <c:pt idx="4">
                  <c:v>-3.4758730701929008</c:v>
                </c:pt>
                <c:pt idx="5">
                  <c:v>-4.7096832078226214</c:v>
                </c:pt>
                <c:pt idx="6">
                  <c:v>-5.559551111834673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C5-40A4-87F2-CC670E96B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739200"/>
        <c:axId val="279739592"/>
      </c:scatterChart>
      <c:valAx>
        <c:axId val="279739200"/>
        <c:scaling>
          <c:orientation val="minMax"/>
          <c:max val="1000"/>
          <c:min val="3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 [K]</a:t>
                </a:r>
              </a:p>
            </c:rich>
          </c:tx>
          <c:layout>
            <c:manualLayout>
              <c:xMode val="edge"/>
              <c:yMode val="edge"/>
              <c:x val="0.47860949947046094"/>
              <c:y val="0.88013841956784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739592"/>
        <c:crossesAt val="-7"/>
        <c:crossBetween val="midCat"/>
        <c:majorUnit val="100"/>
      </c:valAx>
      <c:valAx>
        <c:axId val="279739592"/>
        <c:scaling>
          <c:orientation val="minMax"/>
          <c:max val="6"/>
          <c:min val="-7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平衡定数　log </a:t>
                </a:r>
                <a:r>
                  <a:rPr lang="ja-JP" altLang="en-US" sz="11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K</a:t>
                </a:r>
              </a:p>
            </c:rich>
          </c:tx>
          <c:layout>
            <c:manualLayout>
              <c:xMode val="edge"/>
              <c:yMode val="edge"/>
              <c:x val="3.2085463001335357E-2"/>
              <c:y val="0.275114351500872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279739200"/>
        <c:crosses val="autoZero"/>
        <c:crossBetween val="midCat"/>
        <c:majorUnit val="1"/>
        <c:minorUnit val="1"/>
      </c:valAx>
      <c:spPr>
        <a:noFill/>
        <a:ln w="190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05438932431024"/>
          <c:y val="5.3511705685618728E-2"/>
          <c:w val="0.68378468616011157"/>
          <c:h val="0.702341137123745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平衡定数メタン改質!$O$3:$O$11</c:f>
              <c:numCache>
                <c:formatCode>General</c:formatCode>
                <c:ptCount val="9"/>
                <c:pt idx="0">
                  <c:v>700</c:v>
                </c:pt>
                <c:pt idx="1">
                  <c:v>800</c:v>
                </c:pt>
                <c:pt idx="2">
                  <c:v>900</c:v>
                </c:pt>
                <c:pt idx="3">
                  <c:v>1000</c:v>
                </c:pt>
                <c:pt idx="4">
                  <c:v>1100</c:v>
                </c:pt>
                <c:pt idx="5">
                  <c:v>1200</c:v>
                </c:pt>
                <c:pt idx="6">
                  <c:v>1300</c:v>
                </c:pt>
                <c:pt idx="7">
                  <c:v>1400</c:v>
                </c:pt>
                <c:pt idx="8">
                  <c:v>1500</c:v>
                </c:pt>
              </c:numCache>
            </c:numRef>
          </c:xVal>
          <c:yVal>
            <c:numRef>
              <c:f>平衡定数メタン改質!$P$3:$P$11</c:f>
              <c:numCache>
                <c:formatCode>General</c:formatCode>
                <c:ptCount val="9"/>
                <c:pt idx="0">
                  <c:v>2.5000000000000001E-4</c:v>
                </c:pt>
                <c:pt idx="1">
                  <c:v>2.9000000000000001E-2</c:v>
                </c:pt>
                <c:pt idx="2">
                  <c:v>1.19</c:v>
                </c:pt>
                <c:pt idx="3">
                  <c:v>23.8</c:v>
                </c:pt>
                <c:pt idx="4">
                  <c:v>278</c:v>
                </c:pt>
                <c:pt idx="5">
                  <c:v>2168</c:v>
                </c:pt>
                <c:pt idx="6">
                  <c:v>12332</c:v>
                </c:pt>
                <c:pt idx="7">
                  <c:v>54673</c:v>
                </c:pt>
                <c:pt idx="8">
                  <c:v>198360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E8-44EB-8B2C-7BCD47FAC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741160"/>
        <c:axId val="279741552"/>
      </c:scatterChart>
      <c:valAx>
        <c:axId val="279741160"/>
        <c:scaling>
          <c:orientation val="minMax"/>
          <c:max val="1600"/>
          <c:min val="6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 [K]</a:t>
                </a:r>
              </a:p>
            </c:rich>
          </c:tx>
          <c:layout>
            <c:manualLayout>
              <c:xMode val="edge"/>
              <c:yMode val="edge"/>
              <c:x val="0.45765840387170631"/>
              <c:y val="0.886287628875215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741552"/>
        <c:crossesAt val="1E-4"/>
        <c:crossBetween val="midCat"/>
        <c:majorUnit val="200"/>
        <c:minorUnit val="100"/>
      </c:valAx>
      <c:valAx>
        <c:axId val="279741552"/>
        <c:scaling>
          <c:logBase val="10"/>
          <c:orientation val="minMax"/>
          <c:max val="1000000"/>
          <c:min val="1E-4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平衡定数　K</a:t>
                </a:r>
              </a:p>
            </c:rich>
          </c:tx>
          <c:layout>
            <c:manualLayout>
              <c:xMode val="edge"/>
              <c:yMode val="edge"/>
              <c:x val="2.252255809416679E-2"/>
              <c:y val="0.26755876351462637"/>
            </c:manualLayout>
          </c:layout>
          <c:overlay val="0"/>
          <c:spPr>
            <a:noFill/>
            <a:ln w="25400">
              <a:noFill/>
            </a:ln>
          </c:spPr>
        </c:title>
        <c:numFmt formatCode="0.E+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27974116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10838274438179"/>
          <c:y val="6.0483870967741937E-2"/>
          <c:w val="0.72973069274003999"/>
          <c:h val="0.70564516129032262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平衡定数メタン改質!$A$43:$A$48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平衡定数メタン改質!$B$43:$B$48</c:f>
              <c:numCache>
                <c:formatCode>General</c:formatCode>
                <c:ptCount val="6"/>
                <c:pt idx="0">
                  <c:v>0.189</c:v>
                </c:pt>
                <c:pt idx="1">
                  <c:v>0.46</c:v>
                </c:pt>
                <c:pt idx="2">
                  <c:v>0.753</c:v>
                </c:pt>
                <c:pt idx="3">
                  <c:v>0.90900000000000003</c:v>
                </c:pt>
                <c:pt idx="4">
                  <c:v>0.96599999999999997</c:v>
                </c:pt>
                <c:pt idx="5">
                  <c:v>0.98599999999999999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D7-4BF6-BF4A-4B19FE9DE7A0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平衡定数メタン改質!$A$43:$A$48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平衡定数メタン改質!$C$43:$C$48</c:f>
              <c:numCache>
                <c:formatCode>General</c:formatCode>
                <c:ptCount val="6"/>
                <c:pt idx="0">
                  <c:v>6.0999999999999999E-2</c:v>
                </c:pt>
                <c:pt idx="1">
                  <c:v>0.16200000000000001</c:v>
                </c:pt>
                <c:pt idx="2">
                  <c:v>0.34</c:v>
                </c:pt>
                <c:pt idx="3">
                  <c:v>0.56999999999999995</c:v>
                </c:pt>
                <c:pt idx="4">
                  <c:v>0.76400000000000001</c:v>
                </c:pt>
                <c:pt idx="5">
                  <c:v>0.88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D7-4BF6-BF4A-4B19FE9DE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742336"/>
        <c:axId val="279742728"/>
      </c:scatterChart>
      <c:valAx>
        <c:axId val="279742336"/>
        <c:scaling>
          <c:orientation val="minMax"/>
          <c:max val="1000"/>
          <c:min val="5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温度[ ℃]</a:t>
                </a:r>
              </a:p>
            </c:rich>
          </c:tx>
          <c:layout>
            <c:manualLayout>
              <c:xMode val="edge"/>
              <c:yMode val="edge"/>
              <c:x val="0.48648678686926028"/>
              <c:y val="0.879032382738286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742728"/>
        <c:crosses val="autoZero"/>
        <c:crossBetween val="midCat"/>
        <c:majorUnit val="100"/>
      </c:valAx>
      <c:valAx>
        <c:axId val="2797427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平衡転化率</a:t>
                </a:r>
              </a:p>
            </c:rich>
          </c:tx>
          <c:layout>
            <c:manualLayout>
              <c:xMode val="edge"/>
              <c:yMode val="edge"/>
              <c:x val="7.0270463147630288E-2"/>
              <c:y val="0.25403212159728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742336"/>
        <c:crosses val="autoZero"/>
        <c:crossBetween val="midCat"/>
        <c:majorUnit val="0.2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05438932431024"/>
          <c:y val="5.3511705685618728E-2"/>
          <c:w val="0.68378468616011157"/>
          <c:h val="0.7023411371237458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平衡定数メタン改質!$O$3:$O$11</c:f>
              <c:numCache>
                <c:formatCode>General</c:formatCode>
                <c:ptCount val="9"/>
                <c:pt idx="0">
                  <c:v>700</c:v>
                </c:pt>
                <c:pt idx="1">
                  <c:v>800</c:v>
                </c:pt>
                <c:pt idx="2">
                  <c:v>900</c:v>
                </c:pt>
                <c:pt idx="3">
                  <c:v>1000</c:v>
                </c:pt>
                <c:pt idx="4">
                  <c:v>1100</c:v>
                </c:pt>
                <c:pt idx="5">
                  <c:v>1200</c:v>
                </c:pt>
                <c:pt idx="6">
                  <c:v>1300</c:v>
                </c:pt>
                <c:pt idx="7">
                  <c:v>1400</c:v>
                </c:pt>
                <c:pt idx="8">
                  <c:v>1500</c:v>
                </c:pt>
              </c:numCache>
            </c:numRef>
          </c:xVal>
          <c:yVal>
            <c:numRef>
              <c:f>平衡定数メタン改質!$V$3:$V$11</c:f>
              <c:numCache>
                <c:formatCode>General</c:formatCode>
                <c:ptCount val="9"/>
                <c:pt idx="0">
                  <c:v>-3.6020599913279625</c:v>
                </c:pt>
                <c:pt idx="1">
                  <c:v>-1.5376020021010439</c:v>
                </c:pt>
                <c:pt idx="2">
                  <c:v>7.554696139253074E-2</c:v>
                </c:pt>
                <c:pt idx="3">
                  <c:v>1.3765769570565121</c:v>
                </c:pt>
                <c:pt idx="4">
                  <c:v>2.4440447959180762</c:v>
                </c:pt>
                <c:pt idx="5">
                  <c:v>3.3360592778663491</c:v>
                </c:pt>
                <c:pt idx="6">
                  <c:v>4.0910335160544706</c:v>
                </c:pt>
                <c:pt idx="7">
                  <c:v>4.7377729050183062</c:v>
                </c:pt>
                <c:pt idx="8">
                  <c:v>5.2974540996190722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0A-406A-9FDF-A6A15276A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740376"/>
        <c:axId val="279738808"/>
      </c:scatterChart>
      <c:valAx>
        <c:axId val="279740376"/>
        <c:scaling>
          <c:orientation val="minMax"/>
          <c:max val="1600"/>
          <c:min val="6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 [K]</a:t>
                </a:r>
              </a:p>
            </c:rich>
          </c:tx>
          <c:layout>
            <c:manualLayout>
              <c:xMode val="edge"/>
              <c:yMode val="edge"/>
              <c:x val="0.51531612876746857"/>
              <c:y val="0.863991090576277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738808"/>
        <c:crossesAt val="-4"/>
        <c:crossBetween val="midCat"/>
        <c:majorUnit val="200"/>
        <c:minorUnit val="100"/>
      </c:valAx>
      <c:valAx>
        <c:axId val="279738808"/>
        <c:scaling>
          <c:orientation val="minMax"/>
          <c:max val="6"/>
          <c:min val="-4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平衡定数　log </a:t>
                </a:r>
                <a:r>
                  <a:rPr lang="ja-JP" altLang="en-US" sz="11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K</a:t>
                </a:r>
              </a:p>
            </c:rich>
          </c:tx>
          <c:layout>
            <c:manualLayout>
              <c:xMode val="edge"/>
              <c:yMode val="edge"/>
              <c:x val="8.3783870939371632E-2"/>
              <c:y val="0.272017818847444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279740376"/>
        <c:crosses val="autoZero"/>
        <c:crossBetween val="midCat"/>
        <c:majorUnit val="1"/>
        <c:minorUnit val="1"/>
      </c:valAx>
      <c:spPr>
        <a:noFill/>
        <a:ln w="190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911051212938005"/>
          <c:y val="6.4257280125502497E-2"/>
          <c:w val="0.70889487870619949"/>
          <c:h val="0.69076576134915191"/>
        </c:manualLayout>
      </c:layout>
      <c:scatterChart>
        <c:scatterStyle val="smoothMarker"/>
        <c:varyColors val="0"/>
        <c:ser>
          <c:idx val="2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平衡定数水分解!$C$38:$F$38</c:f>
              <c:numCache>
                <c:formatCode>General</c:formatCode>
                <c:ptCount val="4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</c:numCache>
            </c:numRef>
          </c:xVal>
          <c:yVal>
            <c:numRef>
              <c:f>平衡定数水分解!$C$36:$F$36</c:f>
              <c:numCache>
                <c:formatCode>General</c:formatCode>
                <c:ptCount val="4"/>
                <c:pt idx="0">
                  <c:v>1.1E-5</c:v>
                </c:pt>
                <c:pt idx="1">
                  <c:v>6.4000000000000005E-4</c:v>
                </c:pt>
                <c:pt idx="2">
                  <c:v>5.4999999999999997E-3</c:v>
                </c:pt>
                <c:pt idx="3">
                  <c:v>1.9599999999999999E-2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D8-461B-83BC-FD439033BEAD}"/>
            </c:ext>
          </c:extLst>
        </c:ser>
        <c:ser>
          <c:idx val="3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平衡定数水分解!$C$38:$F$38</c:f>
              <c:numCache>
                <c:formatCode>General</c:formatCode>
                <c:ptCount val="4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</c:numCache>
            </c:numRef>
          </c:xVal>
          <c:yVal>
            <c:numRef>
              <c:f>平衡定数水分解!$C$37:$F$37</c:f>
              <c:numCache>
                <c:formatCode>General</c:formatCode>
                <c:ptCount val="4"/>
                <c:pt idx="0">
                  <c:v>2.3E-5</c:v>
                </c:pt>
                <c:pt idx="1">
                  <c:v>1.3799999999999999E-3</c:v>
                </c:pt>
                <c:pt idx="2">
                  <c:v>1.191E-2</c:v>
                </c:pt>
                <c:pt idx="3">
                  <c:v>4.1700000000000001E-2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1D8-461B-83BC-FD439033B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738024"/>
        <c:axId val="279737632"/>
      </c:scatterChart>
      <c:valAx>
        <c:axId val="279738024"/>
        <c:scaling>
          <c:orientation val="minMax"/>
          <c:max val="25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Arial"/>
                    <a:ea typeface="ＭＳ Ｐゴシック"/>
                    <a:cs typeface="Arial"/>
                  </a:rPr>
                  <a:t>[ ℃]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0.50134774255352177"/>
              <c:y val="0.879521624590741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279737632"/>
        <c:crosses val="autoZero"/>
        <c:crossBetween val="midCat"/>
        <c:majorUnit val="500"/>
        <c:minorUnit val="100"/>
      </c:valAx>
      <c:valAx>
        <c:axId val="279737632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平衡転化率</a:t>
                </a:r>
              </a:p>
            </c:rich>
          </c:tx>
          <c:layout>
            <c:manualLayout>
              <c:xMode val="edge"/>
              <c:yMode val="edge"/>
              <c:x val="6.4690155978976052E-2"/>
              <c:y val="0.253012750625287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279738024"/>
        <c:crossesAt val="500"/>
        <c:crossBetween val="midCat"/>
        <c:majorUnit val="0.02"/>
        <c:minorUnit val="0.01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411480</xdr:colOff>
          <xdr:row>0</xdr:row>
          <xdr:rowOff>0</xdr:rowOff>
        </xdr:from>
        <xdr:to>
          <xdr:col>9</xdr:col>
          <xdr:colOff>594360</xdr:colOff>
          <xdr:row>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200026</xdr:colOff>
      <xdr:row>51</xdr:row>
      <xdr:rowOff>106597</xdr:rowOff>
    </xdr:from>
    <xdr:to>
      <xdr:col>10</xdr:col>
      <xdr:colOff>189341</xdr:colOff>
      <xdr:row>69</xdr:row>
      <xdr:rowOff>0</xdr:rowOff>
    </xdr:to>
    <xdr:graphicFrame macro="">
      <xdr:nvGraphicFramePr>
        <xdr:cNvPr id="127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119270</xdr:colOff>
      <xdr:row>29</xdr:row>
      <xdr:rowOff>95416</xdr:rowOff>
    </xdr:from>
    <xdr:to>
      <xdr:col>10</xdr:col>
      <xdr:colOff>524786</xdr:colOff>
      <xdr:row>43</xdr:row>
      <xdr:rowOff>127221</xdr:rowOff>
    </xdr:to>
    <xdr:graphicFrame macro="">
      <xdr:nvGraphicFramePr>
        <xdr:cNvPr id="127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</xdr:colOff>
          <xdr:row>15</xdr:row>
          <xdr:rowOff>83820</xdr:rowOff>
        </xdr:from>
        <xdr:to>
          <xdr:col>8</xdr:col>
          <xdr:colOff>152400</xdr:colOff>
          <xdr:row>16</xdr:row>
          <xdr:rowOff>160020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83820</xdr:colOff>
          <xdr:row>16</xdr:row>
          <xdr:rowOff>91440</xdr:rowOff>
        </xdr:from>
        <xdr:to>
          <xdr:col>11</xdr:col>
          <xdr:colOff>198120</xdr:colOff>
          <xdr:row>18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129540</xdr:colOff>
          <xdr:row>17</xdr:row>
          <xdr:rowOff>144780</xdr:rowOff>
        </xdr:from>
        <xdr:to>
          <xdr:col>14</xdr:col>
          <xdr:colOff>403860</xdr:colOff>
          <xdr:row>20</xdr:row>
          <xdr:rowOff>38100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</xdr:colOff>
          <xdr:row>22</xdr:row>
          <xdr:rowOff>99060</xdr:rowOff>
        </xdr:from>
        <xdr:to>
          <xdr:col>9</xdr:col>
          <xdr:colOff>358140</xdr:colOff>
          <xdr:row>23</xdr:row>
          <xdr:rowOff>152400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129540</xdr:colOff>
          <xdr:row>24</xdr:row>
          <xdr:rowOff>15240</xdr:rowOff>
        </xdr:from>
        <xdr:to>
          <xdr:col>8</xdr:col>
          <xdr:colOff>777240</xdr:colOff>
          <xdr:row>24</xdr:row>
          <xdr:rowOff>167640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27</xdr:row>
          <xdr:rowOff>0</xdr:rowOff>
        </xdr:from>
        <xdr:to>
          <xdr:col>9</xdr:col>
          <xdr:colOff>266700</xdr:colOff>
          <xdr:row>29</xdr:row>
          <xdr:rowOff>121920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291082</xdr:colOff>
      <xdr:row>0</xdr:row>
      <xdr:rowOff>0</xdr:rowOff>
    </xdr:from>
    <xdr:to>
      <xdr:col>19</xdr:col>
      <xdr:colOff>539351</xdr:colOff>
      <xdr:row>16</xdr:row>
      <xdr:rowOff>15903</xdr:rowOff>
    </xdr:to>
    <xdr:graphicFrame macro="">
      <xdr:nvGraphicFramePr>
        <xdr:cNvPr id="127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255723</xdr:colOff>
      <xdr:row>16</xdr:row>
      <xdr:rowOff>112253</xdr:rowOff>
    </xdr:from>
    <xdr:to>
      <xdr:col>19</xdr:col>
      <xdr:colOff>550699</xdr:colOff>
      <xdr:row>33</xdr:row>
      <xdr:rowOff>20813</xdr:rowOff>
    </xdr:to>
    <xdr:graphicFrame macro="">
      <xdr:nvGraphicFramePr>
        <xdr:cNvPr id="128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542179</xdr:colOff>
      <xdr:row>0</xdr:row>
      <xdr:rowOff>0</xdr:rowOff>
    </xdr:from>
    <xdr:to>
      <xdr:col>14</xdr:col>
      <xdr:colOff>190334</xdr:colOff>
      <xdr:row>15</xdr:row>
      <xdr:rowOff>122251</xdr:rowOff>
    </xdr:to>
    <xdr:graphicFrame macro="">
      <xdr:nvGraphicFramePr>
        <xdr:cNvPr id="1281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274320</xdr:colOff>
          <xdr:row>20</xdr:row>
          <xdr:rowOff>0</xdr:rowOff>
        </xdr:from>
        <xdr:to>
          <xdr:col>12</xdr:col>
          <xdr:colOff>708660</xdr:colOff>
          <xdr:row>22</xdr:row>
          <xdr:rowOff>60960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0.30057</cdr:x>
      <cdr:y>0.14923</cdr:y>
    </cdr:from>
    <cdr:to>
      <cdr:x>0.631</cdr:x>
      <cdr:y>0.21304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5292" y="433110"/>
          <a:ext cx="1127103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H＞0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吸熱反応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0.29486</cdr:x>
      <cdr:y>0.06713</cdr:y>
    </cdr:from>
    <cdr:to>
      <cdr:x>0.7427</cdr:x>
      <cdr:y>0.14883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750" y="190500"/>
          <a:ext cx="1571429" cy="228571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485030</xdr:colOff>
      <xdr:row>11</xdr:row>
      <xdr:rowOff>95416</xdr:rowOff>
    </xdr:from>
    <xdr:to>
      <xdr:col>13</xdr:col>
      <xdr:colOff>294198</xdr:colOff>
      <xdr:row>25</xdr:row>
      <xdr:rowOff>71562</xdr:rowOff>
    </xdr:to>
    <xdr:graphicFrame macro="">
      <xdr:nvGraphicFramePr>
        <xdr:cNvPr id="2668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0.64086</cdr:x>
      <cdr:y>0.37544</cdr:y>
    </cdr:from>
    <cdr:to>
      <cdr:x>0.86308</cdr:x>
      <cdr:y>0.44623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558" y="904517"/>
          <a:ext cx="749179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p= 0.01 MPa</a:t>
          </a:r>
        </a:p>
      </cdr:txBody>
    </cdr:sp>
  </cdr:relSizeAnchor>
  <cdr:relSizeAnchor xmlns:cdr="http://schemas.openxmlformats.org/drawingml/2006/chartDrawing">
    <cdr:from>
      <cdr:x>0.52406</cdr:x>
      <cdr:y>0.5408</cdr:y>
    </cdr:from>
    <cdr:to>
      <cdr:x>0.72513</cdr:x>
      <cdr:y>0.6116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6801" y="1302925"/>
          <a:ext cx="677878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p= 0.1 MPa</a:t>
          </a:r>
        </a:p>
      </cdr:txBody>
    </cdr:sp>
  </cdr:relSizeAnchor>
  <cdr:relSizeAnchor xmlns:cdr="http://schemas.openxmlformats.org/drawingml/2006/chartDrawing">
    <cdr:from>
      <cdr:x>0.64086</cdr:x>
      <cdr:y>0.08743</cdr:y>
    </cdr:from>
    <cdr:to>
      <cdr:x>0.94119</cdr:x>
      <cdr:y>0.16621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558" y="210640"/>
          <a:ext cx="1012521" cy="189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→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Arial"/>
              <a:ea typeface="ＭＳ Ｐゴシック"/>
              <a:cs typeface="Arial"/>
            </a:rPr>
            <a:t>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Arial"/>
              <a:ea typeface="ＭＳ Ｐゴシック"/>
              <a:cs typeface="Arial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Arial"/>
              <a:ea typeface="ＭＳ Ｐゴシック"/>
              <a:cs typeface="Arial"/>
            </a:rPr>
            <a:t>+(1/2)O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Arial"/>
              <a:ea typeface="ＭＳ Ｐゴシック"/>
              <a:cs typeface="Arial"/>
            </a:rPr>
            <a:t>2</a:t>
          </a:r>
          <a:endParaRPr lang="ja-JP" altLang="en-US" sz="1000" b="0" i="0" u="none" strike="noStrike" baseline="-2500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0.67175</cdr:x>
      <cdr:y>0.60633</cdr:y>
    </cdr:from>
    <cdr:to>
      <cdr:x>0.73453</cdr:x>
      <cdr:y>0.70713</cdr:y>
    </cdr:to>
    <cdr:sp macro="" textlink="">
      <cdr:nvSpPr>
        <cdr:cNvPr id="276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83406" y="1431544"/>
          <a:ext cx="230157" cy="2377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0.75473</cdr:x>
      <cdr:y>0.45992</cdr:y>
    </cdr:from>
    <cdr:to>
      <cdr:x>0.81702</cdr:x>
      <cdr:y>0.56168</cdr:y>
    </cdr:to>
    <cdr:sp macro="" textlink="">
      <cdr:nvSpPr>
        <cdr:cNvPr id="276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89420" y="1089216"/>
          <a:ext cx="227572" cy="2377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333955</xdr:colOff>
      <xdr:row>1</xdr:row>
      <xdr:rowOff>79513</xdr:rowOff>
    </xdr:from>
    <xdr:to>
      <xdr:col>10</xdr:col>
      <xdr:colOff>278296</xdr:colOff>
      <xdr:row>2</xdr:row>
      <xdr:rowOff>127221</xdr:rowOff>
    </xdr:to>
    <xdr:pic>
      <xdr:nvPicPr>
        <xdr:cNvPr id="214021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8306" y="254442"/>
          <a:ext cx="1979875" cy="222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302150</xdr:colOff>
      <xdr:row>9</xdr:row>
      <xdr:rowOff>166977</xdr:rowOff>
    </xdr:from>
    <xdr:to>
      <xdr:col>15</xdr:col>
      <xdr:colOff>477078</xdr:colOff>
      <xdr:row>28</xdr:row>
      <xdr:rowOff>111318</xdr:rowOff>
    </xdr:to>
    <xdr:graphicFrame macro="">
      <xdr:nvGraphicFramePr>
        <xdr:cNvPr id="2140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0.26889</cdr:x>
      <cdr:y>0.12628</cdr:y>
    </cdr:from>
    <cdr:to>
      <cdr:x>0.81101</cdr:x>
      <cdr:y>0.18935</cdr:y>
    </cdr:to>
    <cdr:pic>
      <cdr:nvPicPr>
        <cdr:cNvPr id="2" name="図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02170" y="423761"/>
          <a:ext cx="1895385" cy="21467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0.55154</cdr:x>
      <cdr:y>0.33424</cdr:y>
    </cdr:from>
    <cdr:to>
      <cdr:x>0.59008</cdr:x>
      <cdr:y>0.52613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62148" y="91842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0.79236</cdr:x>
      <cdr:y>0.49569</cdr:y>
    </cdr:from>
    <cdr:to>
      <cdr:x>0.83114</cdr:x>
      <cdr:y>0.6883</cdr:y>
    </cdr:to>
    <cdr:sp macro="" textlink="">
      <cdr:nvSpPr>
        <cdr:cNvPr id="3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19398" y="135657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0.55154</cdr:x>
      <cdr:y>0.33424</cdr:y>
    </cdr:from>
    <cdr:to>
      <cdr:x>0.59008</cdr:x>
      <cdr:y>0.52613</cdr:y>
    </cdr:to>
    <cdr:sp macro="" textlink="">
      <cdr:nvSpPr>
        <cdr:cNvPr id="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62148" y="91842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0.79236</cdr:x>
      <cdr:y>0.49569</cdr:y>
    </cdr:from>
    <cdr:to>
      <cdr:x>0.83114</cdr:x>
      <cdr:y>0.6883</cdr:y>
    </cdr:to>
    <cdr:sp macro="" textlink="">
      <cdr:nvSpPr>
        <cdr:cNvPr id="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19398" y="135657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0.55154</cdr:x>
      <cdr:y>0.33424</cdr:y>
    </cdr:from>
    <cdr:to>
      <cdr:x>0.59008</cdr:x>
      <cdr:y>0.52613</cdr:y>
    </cdr:to>
    <cdr:sp macro="" textlink="">
      <cdr:nvSpPr>
        <cdr:cNvPr id="5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62148" y="91842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0.79236</cdr:x>
      <cdr:y>0.49569</cdr:y>
    </cdr:from>
    <cdr:to>
      <cdr:x>0.83114</cdr:x>
      <cdr:y>0.6883</cdr:y>
    </cdr:to>
    <cdr:sp macro="" textlink="">
      <cdr:nvSpPr>
        <cdr:cNvPr id="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19398" y="135657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0.55154</cdr:x>
      <cdr:y>0.33424</cdr:y>
    </cdr:from>
    <cdr:to>
      <cdr:x>0.59008</cdr:x>
      <cdr:y>0.52613</cdr:y>
    </cdr:to>
    <cdr:sp macro="" textlink="">
      <cdr:nvSpPr>
        <cdr:cNvPr id="7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62148" y="91842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0.79236</cdr:x>
      <cdr:y>0.49569</cdr:y>
    </cdr:from>
    <cdr:to>
      <cdr:x>0.83114</cdr:x>
      <cdr:y>0.6883</cdr:y>
    </cdr:to>
    <cdr:sp macro="" textlink="">
      <cdr:nvSpPr>
        <cdr:cNvPr id="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19398" y="135657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0.55154</cdr:x>
      <cdr:y>0.33424</cdr:y>
    </cdr:from>
    <cdr:to>
      <cdr:x>0.59008</cdr:x>
      <cdr:y>0.52613</cdr:y>
    </cdr:to>
    <cdr:sp macro="" textlink="">
      <cdr:nvSpPr>
        <cdr:cNvPr id="9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62148" y="91842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0.79236</cdr:x>
      <cdr:y>0.49569</cdr:y>
    </cdr:from>
    <cdr:to>
      <cdr:x>0.83114</cdr:x>
      <cdr:y>0.6883</cdr:y>
    </cdr:to>
    <cdr:sp macro="" textlink="">
      <cdr:nvSpPr>
        <cdr:cNvPr id="1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19398" y="135657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0.55154</cdr:x>
      <cdr:y>0.33424</cdr:y>
    </cdr:from>
    <cdr:to>
      <cdr:x>0.59008</cdr:x>
      <cdr:y>0.52613</cdr:y>
    </cdr:to>
    <cdr:sp macro="" textlink="">
      <cdr:nvSpPr>
        <cdr:cNvPr id="11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62148" y="91842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0.79236</cdr:x>
      <cdr:y>0.49569</cdr:y>
    </cdr:from>
    <cdr:to>
      <cdr:x>0.83114</cdr:x>
      <cdr:y>0.6883</cdr:y>
    </cdr:to>
    <cdr:sp macro="" textlink="">
      <cdr:nvSpPr>
        <cdr:cNvPr id="1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19398" y="135657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0.54326</cdr:x>
      <cdr:y>0.25183</cdr:y>
    </cdr:from>
    <cdr:to>
      <cdr:x>0.67463</cdr:x>
      <cdr:y>0.34335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1933575" y="695325"/>
          <a:ext cx="466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50"/>
            <a:t>荒井</a:t>
          </a:r>
        </a:p>
      </cdr:txBody>
    </cdr:sp>
  </cdr:relSizeAnchor>
  <cdr:relSizeAnchor xmlns:cdr="http://schemas.openxmlformats.org/drawingml/2006/chartDrawing">
    <cdr:from>
      <cdr:x>0.67999</cdr:x>
      <cdr:y>0.31169</cdr:y>
    </cdr:from>
    <cdr:to>
      <cdr:x>0.81137</cdr:x>
      <cdr:y>0.40297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2419350" y="857250"/>
          <a:ext cx="466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/>
            <a:t>Murphy</a:t>
          </a:r>
          <a:endParaRPr lang="ja-JP" altLang="en-US" sz="1050"/>
        </a:p>
      </cdr:txBody>
    </cdr:sp>
  </cdr:relSizeAnchor>
  <cdr:relSizeAnchor xmlns:cdr="http://schemas.openxmlformats.org/drawingml/2006/chartDrawing">
    <cdr:from>
      <cdr:x>0.66928</cdr:x>
      <cdr:y>0.41327</cdr:y>
    </cdr:from>
    <cdr:to>
      <cdr:x>0.699</cdr:x>
      <cdr:y>0.58208</cdr:y>
    </cdr:to>
    <cdr:sp macro="" textlink="">
      <cdr:nvSpPr>
        <cdr:cNvPr id="1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81266" y="1133474"/>
          <a:ext cx="104760" cy="4571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0.33731</cdr:x>
      <cdr:y>0.31314</cdr:y>
    </cdr:from>
    <cdr:to>
      <cdr:x>0.37585</cdr:x>
      <cdr:y>0.50479</cdr:y>
    </cdr:to>
    <cdr:sp macro="" textlink="">
      <cdr:nvSpPr>
        <cdr:cNvPr id="17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200165" y="861262"/>
          <a:ext cx="137779" cy="5198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0.24079</cdr:x>
      <cdr:y>0.50479</cdr:y>
    </cdr:from>
    <cdr:to>
      <cdr:x>0.48451</cdr:x>
      <cdr:y>0.61373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857263" y="1381128"/>
          <a:ext cx="866761" cy="2952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50"/>
            <a:t>伊香輪 </a:t>
          </a:r>
          <a:r>
            <a:rPr lang="en-US" altLang="ja-JP" sz="1050"/>
            <a:t>Kp</a:t>
          </a:r>
          <a:endParaRPr lang="ja-JP" altLang="en-US" sz="105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0.78716</cdr:x>
      <cdr:y>0.5663</cdr:y>
    </cdr:from>
    <cdr:to>
      <cdr:x>0.8875</cdr:x>
      <cdr:y>0.64094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0061" y="1404874"/>
          <a:ext cx="33906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500℃</a:t>
          </a:r>
        </a:p>
      </cdr:txBody>
    </cdr:sp>
  </cdr:relSizeAnchor>
  <cdr:relSizeAnchor xmlns:cdr="http://schemas.openxmlformats.org/drawingml/2006/chartDrawing">
    <cdr:from>
      <cdr:x>0.78716</cdr:x>
      <cdr:y>0.39237</cdr:y>
    </cdr:from>
    <cdr:to>
      <cdr:x>0.8875</cdr:x>
      <cdr:y>0.46701</cdr:y>
    </cdr:to>
    <cdr:sp macro="" textlink="">
      <cdr:nvSpPr>
        <cdr:cNvPr id="337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0061" y="973393"/>
          <a:ext cx="33906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400℃</a:t>
          </a:r>
        </a:p>
      </cdr:txBody>
    </cdr:sp>
  </cdr:relSizeAnchor>
  <cdr:relSizeAnchor xmlns:cdr="http://schemas.openxmlformats.org/drawingml/2006/chartDrawing">
    <cdr:from>
      <cdr:x>0.71032</cdr:x>
      <cdr:y>0.10602</cdr:y>
    </cdr:from>
    <cdr:to>
      <cdr:x>0.81066</cdr:x>
      <cdr:y>0.18067</cdr:y>
    </cdr:to>
    <cdr:sp macro="" textlink="">
      <cdr:nvSpPr>
        <cdr:cNvPr id="337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0396" y="263025"/>
          <a:ext cx="33906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200℃</a:t>
          </a:r>
        </a:p>
      </cdr:txBody>
    </cdr:sp>
  </cdr:relSizeAnchor>
  <cdr:relSizeAnchor xmlns:cdr="http://schemas.openxmlformats.org/drawingml/2006/chartDrawing">
    <cdr:from>
      <cdr:x>0.5294</cdr:x>
      <cdr:y>0.49856</cdr:y>
    </cdr:from>
    <cdr:to>
      <cdr:x>0.5294</cdr:x>
      <cdr:y>0.78082</cdr:y>
    </cdr:to>
    <cdr:sp macro="" textlink="">
      <cdr:nvSpPr>
        <cdr:cNvPr id="3379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2083" y="1212417"/>
          <a:ext cx="0" cy="6771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0.5294</cdr:x>
      <cdr:y>0.05845</cdr:y>
    </cdr:from>
    <cdr:to>
      <cdr:x>0.5294</cdr:x>
      <cdr:y>0.47117</cdr:y>
    </cdr:to>
    <cdr:sp macro="" textlink="">
      <cdr:nvSpPr>
        <cdr:cNvPr id="33798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842083" y="155070"/>
          <a:ext cx="0" cy="9911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0.5294</cdr:x>
      <cdr:y>0.6463</cdr:y>
    </cdr:from>
    <cdr:to>
      <cdr:x>0.69208</cdr:x>
      <cdr:y>0.72556</cdr:y>
    </cdr:to>
    <cdr:sp macro="" textlink="">
      <cdr:nvSpPr>
        <cdr:cNvPr id="337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2083" y="1565646"/>
          <a:ext cx="562154" cy="1903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</a:p>
      </cdr:txBody>
    </cdr:sp>
  </cdr:relSizeAnchor>
  <cdr:relSizeAnchor xmlns:cdr="http://schemas.openxmlformats.org/drawingml/2006/chartDrawing">
    <cdr:from>
      <cdr:x>0.5294</cdr:x>
      <cdr:y>0.22229</cdr:y>
    </cdr:from>
    <cdr:to>
      <cdr:x>0.69208</cdr:x>
      <cdr:y>0.30085</cdr:y>
    </cdr:to>
    <cdr:sp macro="" textlink="">
      <cdr:nvSpPr>
        <cdr:cNvPr id="338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2083" y="546962"/>
          <a:ext cx="562154" cy="1903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0.62774</cdr:x>
      <cdr:y>0.5152</cdr:y>
    </cdr:from>
    <cdr:to>
      <cdr:x>0.82723</cdr:x>
      <cdr:y>0.57473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6257" y="1458349"/>
          <a:ext cx="688394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ΔH＜0　発熱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0.64621</cdr:x>
      <cdr:y>0.15937</cdr:y>
    </cdr:from>
    <cdr:to>
      <cdr:x>0.84569</cdr:x>
      <cdr:y>0.2189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982" y="451111"/>
          <a:ext cx="688394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ΔH＜0　発熱</a:t>
          </a:r>
        </a:p>
      </cdr:txBody>
    </cdr:sp>
  </cdr:relSizeAnchor>
  <cdr:relSizeAnchor xmlns:cdr="http://schemas.openxmlformats.org/drawingml/2006/chartDrawing">
    <cdr:from>
      <cdr:x>0.71619</cdr:x>
      <cdr:y>0.47767</cdr:y>
    </cdr:from>
    <cdr:to>
      <cdr:x>0.89967</cdr:x>
      <cdr:y>0.54309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1461" y="1352123"/>
          <a:ext cx="63318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r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^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一定</a:t>
          </a:r>
        </a:p>
      </cdr:txBody>
    </cdr:sp>
  </cdr:relSizeAnchor>
  <cdr:relSizeAnchor xmlns:cdr="http://schemas.openxmlformats.org/drawingml/2006/chartDrawing">
    <cdr:from>
      <cdr:x>0.73945</cdr:x>
      <cdr:y>0.55519</cdr:y>
    </cdr:from>
    <cdr:to>
      <cdr:x>0.79615</cdr:x>
      <cdr:y>0.63222</cdr:y>
    </cdr:to>
    <cdr:sp macro="" textlink="">
      <cdr:nvSpPr>
        <cdr:cNvPr id="1331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32478" y="1518675"/>
          <a:ext cx="201985" cy="2095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0.57729</cdr:x>
      <cdr:y>0.06193</cdr:y>
    </cdr:from>
    <cdr:to>
      <cdr:x>0.91513</cdr:x>
      <cdr:y>0.15042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57400" y="180975"/>
          <a:ext cx="1200000" cy="2380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0.58497</cdr:x>
      <cdr:y>0.15474</cdr:y>
    </cdr:from>
    <cdr:to>
      <cdr:x>0.90054</cdr:x>
      <cdr:y>0.21411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2622" y="439255"/>
          <a:ext cx="1096519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</a:t>
          </a:r>
          <a:r>
            <a:rPr lang="en-US" altLang="ja-JP" sz="9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H＜0　（発熱反応）</a:t>
          </a:r>
        </a:p>
      </cdr:txBody>
    </cdr:sp>
  </cdr:relSizeAnchor>
  <cdr:relSizeAnchor xmlns:cdr="http://schemas.openxmlformats.org/drawingml/2006/chartDrawing">
    <cdr:from>
      <cdr:x>0.71353</cdr:x>
      <cdr:y>0.47623</cdr:y>
    </cdr:from>
    <cdr:to>
      <cdr:x>0.89575</cdr:x>
      <cdr:y>0.54147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9305" y="1351833"/>
          <a:ext cx="63318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r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^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一定</a:t>
          </a:r>
        </a:p>
      </cdr:txBody>
    </cdr:sp>
  </cdr:relSizeAnchor>
  <cdr:relSizeAnchor xmlns:cdr="http://schemas.openxmlformats.org/drawingml/2006/chartDrawing">
    <cdr:from>
      <cdr:x>0.73752</cdr:x>
      <cdr:y>0.55351</cdr:y>
    </cdr:from>
    <cdr:to>
      <cdr:x>0.79349</cdr:x>
      <cdr:y>0.6303</cdr:y>
    </cdr:to>
    <cdr:sp macro="" textlink="">
      <cdr:nvSpPr>
        <cdr:cNvPr id="1331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32478" y="1518675"/>
          <a:ext cx="201985" cy="2095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0.57487</cdr:x>
      <cdr:y>0.06169</cdr:y>
    </cdr:from>
    <cdr:to>
      <cdr:x>0.91343</cdr:x>
      <cdr:y>0.14922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57400" y="180975"/>
          <a:ext cx="1200000" cy="23809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596348</xdr:colOff>
      <xdr:row>0</xdr:row>
      <xdr:rowOff>15903</xdr:rowOff>
    </xdr:from>
    <xdr:to>
      <xdr:col>12</xdr:col>
      <xdr:colOff>127221</xdr:colOff>
      <xdr:row>16</xdr:row>
      <xdr:rowOff>103367</xdr:rowOff>
    </xdr:to>
    <xdr:graphicFrame macro="">
      <xdr:nvGraphicFramePr>
        <xdr:cNvPr id="223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500932</xdr:colOff>
      <xdr:row>45</xdr:row>
      <xdr:rowOff>135172</xdr:rowOff>
    </xdr:from>
    <xdr:to>
      <xdr:col>2</xdr:col>
      <xdr:colOff>572494</xdr:colOff>
      <xdr:row>46</xdr:row>
      <xdr:rowOff>135172</xdr:rowOff>
    </xdr:to>
    <xdr:sp macro="" textlink="">
      <xdr:nvSpPr>
        <xdr:cNvPr id="2236" name="Text Box 2"/>
        <xdr:cNvSpPr txBox="1">
          <a:spLocks noChangeArrowheads="1"/>
        </xdr:cNvSpPr>
      </xdr:nvSpPr>
      <xdr:spPr bwMode="auto">
        <a:xfrm>
          <a:off x="3331597" y="8054671"/>
          <a:ext cx="71561" cy="174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365760</xdr:colOff>
      <xdr:row>19</xdr:row>
      <xdr:rowOff>71562</xdr:rowOff>
    </xdr:from>
    <xdr:to>
      <xdr:col>13</xdr:col>
      <xdr:colOff>79513</xdr:colOff>
      <xdr:row>32</xdr:row>
      <xdr:rowOff>166977</xdr:rowOff>
    </xdr:to>
    <xdr:graphicFrame macro="">
      <xdr:nvGraphicFramePr>
        <xdr:cNvPr id="223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14</xdr:row>
      <xdr:rowOff>0</xdr:rowOff>
    </xdr:from>
    <xdr:to>
      <xdr:col>20</xdr:col>
      <xdr:colOff>310101</xdr:colOff>
      <xdr:row>30</xdr:row>
      <xdr:rowOff>71562</xdr:rowOff>
    </xdr:to>
    <xdr:graphicFrame macro="">
      <xdr:nvGraphicFramePr>
        <xdr:cNvPr id="22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0.44548</cdr:x>
      <cdr:y>0.49806</cdr:y>
    </cdr:from>
    <cdr:to>
      <cdr:x>0.64636</cdr:x>
      <cdr:y>0.55612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6679" y="1445483"/>
          <a:ext cx="688394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ΔH＞0　吸熱</a:t>
          </a:r>
        </a:p>
      </cdr:txBody>
    </cdr:sp>
  </cdr:relSizeAnchor>
  <cdr:relSizeAnchor xmlns:cdr="http://schemas.openxmlformats.org/drawingml/2006/chartDrawing">
    <cdr:from>
      <cdr:x>0.29946</cdr:x>
      <cdr:y>0.06375</cdr:y>
    </cdr:from>
    <cdr:to>
      <cdr:x>0.74658</cdr:x>
      <cdr:y>0.14594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750" y="190500"/>
          <a:ext cx="1571429" cy="228571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0.37397</cdr:x>
      <cdr:y>0.09904</cdr:y>
    </cdr:from>
    <cdr:to>
      <cdr:x>0.55808</cdr:x>
      <cdr:y>0.17616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8633" y="237826"/>
          <a:ext cx="629468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P= 0.1 MPa</a:t>
          </a:r>
        </a:p>
      </cdr:txBody>
    </cdr:sp>
  </cdr:relSizeAnchor>
  <cdr:relSizeAnchor xmlns:cdr="http://schemas.openxmlformats.org/drawingml/2006/chartDrawing">
    <cdr:from>
      <cdr:x>0.60898</cdr:x>
      <cdr:y>0.39849</cdr:y>
    </cdr:from>
    <cdr:to>
      <cdr:x>0.79309</cdr:x>
      <cdr:y>0.47561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2153" y="956888"/>
          <a:ext cx="629468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P= 1.0 MPa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omtecquest.com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12"/>
  <sheetViews>
    <sheetView tabSelected="1" zoomScaleNormal="100" workbookViewId="0">
      <selection activeCell="H6" sqref="H6"/>
    </sheetView>
  </sheetViews>
  <sheetFormatPr defaultColWidth="9.28515625" defaultRowHeight="13.2" x14ac:dyDescent="0.15"/>
  <cols>
    <col min="1" max="1" width="24.85546875" style="1" customWidth="1"/>
    <col min="2" max="2" width="12.42578125" style="1" customWidth="1"/>
    <col min="3" max="4" width="12" style="1" customWidth="1"/>
    <col min="5" max="6" width="10.85546875" style="1" customWidth="1"/>
    <col min="7" max="7" width="13.42578125" style="1" customWidth="1"/>
    <col min="8" max="8" width="14.140625" style="1" customWidth="1"/>
    <col min="9" max="9" width="15.140625" style="1" customWidth="1"/>
    <col min="10" max="10" width="10.7109375" style="1" customWidth="1"/>
    <col min="11" max="11" width="13.7109375" style="1" customWidth="1"/>
    <col min="12" max="12" width="13" style="1" bestFit="1" customWidth="1"/>
    <col min="13" max="13" width="21.28515625" style="1" customWidth="1"/>
    <col min="14" max="14" width="12.28515625" style="1" customWidth="1"/>
    <col min="15" max="15" width="9.28515625" style="1"/>
    <col min="16" max="16" width="10" style="1" bestFit="1" customWidth="1"/>
    <col min="17" max="17" width="12" style="1" bestFit="1" customWidth="1"/>
    <col min="18" max="18" width="9.28515625" style="1"/>
    <col min="19" max="19" width="20.85546875" style="1" customWidth="1"/>
    <col min="20" max="22" width="11.42578125" style="1" bestFit="1" customWidth="1"/>
    <col min="23" max="23" width="14" style="1" customWidth="1"/>
    <col min="24" max="24" width="10.85546875" style="1" customWidth="1"/>
    <col min="25" max="16384" width="9.28515625" style="1"/>
  </cols>
  <sheetData>
    <row r="1" spans="1:14" x14ac:dyDescent="0.15">
      <c r="A1" s="1" t="s">
        <v>14</v>
      </c>
      <c r="C1" s="1" t="s">
        <v>16</v>
      </c>
      <c r="D1" s="1" t="s">
        <v>17</v>
      </c>
      <c r="E1" s="1" t="s">
        <v>18</v>
      </c>
      <c r="F1" s="1" t="s">
        <v>19</v>
      </c>
      <c r="J1" s="1" t="s">
        <v>20</v>
      </c>
      <c r="K1" s="1" t="s">
        <v>21</v>
      </c>
      <c r="L1" s="1" t="s">
        <v>46</v>
      </c>
      <c r="M1" s="1" t="s">
        <v>47</v>
      </c>
      <c r="N1" s="1" t="s">
        <v>121</v>
      </c>
    </row>
    <row r="2" spans="1:14" x14ac:dyDescent="0.15">
      <c r="A2" s="1" t="s">
        <v>0</v>
      </c>
      <c r="D2" s="1">
        <v>-1</v>
      </c>
      <c r="E2" s="1">
        <v>-3</v>
      </c>
      <c r="F2" s="1">
        <v>2</v>
      </c>
      <c r="J2" s="1">
        <v>300</v>
      </c>
      <c r="K2" s="1">
        <v>472584</v>
      </c>
      <c r="L2" s="1">
        <f>1/J2</f>
        <v>3.3333333333333335E-3</v>
      </c>
      <c r="M2" s="1">
        <f>LN(K2)</f>
        <v>13.065970787893116</v>
      </c>
      <c r="N2" s="1">
        <f>LOG(K2)</f>
        <v>5.6744790138910641</v>
      </c>
    </row>
    <row r="3" spans="1:14" ht="13.8" thickBot="1" x14ac:dyDescent="0.2">
      <c r="A3" s="1" t="s">
        <v>79</v>
      </c>
      <c r="B3" s="1" t="s">
        <v>2</v>
      </c>
      <c r="C3" s="1">
        <v>298</v>
      </c>
      <c r="D3" s="1">
        <f>C3</f>
        <v>298</v>
      </c>
      <c r="E3" s="1">
        <f t="shared" ref="E3:F3" si="0">D3</f>
        <v>298</v>
      </c>
      <c r="F3" s="1">
        <f t="shared" si="0"/>
        <v>298</v>
      </c>
      <c r="G3" s="19" t="s">
        <v>143</v>
      </c>
      <c r="H3" s="19"/>
      <c r="I3" s="19"/>
      <c r="J3" s="1">
        <v>400</v>
      </c>
      <c r="K3" s="1">
        <v>37.49</v>
      </c>
      <c r="L3" s="1">
        <f t="shared" ref="L3:L9" si="1">1/J3</f>
        <v>2.5000000000000001E-3</v>
      </c>
      <c r="M3" s="1">
        <f t="shared" ref="M3:M9" si="2">LN(K3)</f>
        <v>3.6240742307478206</v>
      </c>
      <c r="N3" s="1">
        <f t="shared" ref="N3:N9" si="3">LOG(K3)</f>
        <v>1.5739154404215507</v>
      </c>
    </row>
    <row r="4" spans="1:14" ht="13.8" thickBot="1" x14ac:dyDescent="0.2">
      <c r="A4" s="1" t="s">
        <v>3</v>
      </c>
      <c r="B4" s="1" t="s">
        <v>2</v>
      </c>
      <c r="C4" s="5">
        <v>773</v>
      </c>
      <c r="D4" s="1">
        <f>C4</f>
        <v>773</v>
      </c>
      <c r="E4" s="1">
        <f t="shared" ref="E4:F4" si="4">D4</f>
        <v>773</v>
      </c>
      <c r="F4" s="1">
        <f t="shared" si="4"/>
        <v>773</v>
      </c>
      <c r="G4" s="19" t="s">
        <v>17</v>
      </c>
      <c r="H4" s="19" t="s">
        <v>18</v>
      </c>
      <c r="I4" s="19" t="s">
        <v>19</v>
      </c>
      <c r="J4" s="1">
        <v>500</v>
      </c>
      <c r="K4" s="1">
        <v>0.1027</v>
      </c>
      <c r="L4" s="1">
        <f t="shared" si="1"/>
        <v>2E-3</v>
      </c>
      <c r="M4" s="1">
        <f t="shared" si="2"/>
        <v>-2.2759431620476245</v>
      </c>
      <c r="N4" s="1">
        <f t="shared" si="3"/>
        <v>-0.98842955640272179</v>
      </c>
    </row>
    <row r="5" spans="1:14" x14ac:dyDescent="0.15">
      <c r="A5" s="1" t="s">
        <v>53</v>
      </c>
      <c r="B5" s="1" t="s">
        <v>4</v>
      </c>
      <c r="C5" s="1">
        <f>F2*F5+E2*E5+D2*D5</f>
        <v>-92.22</v>
      </c>
      <c r="D5" s="1">
        <v>0</v>
      </c>
      <c r="E5" s="1">
        <v>0</v>
      </c>
      <c r="F5" s="1">
        <v>-46.11</v>
      </c>
      <c r="G5" s="19">
        <v>0</v>
      </c>
      <c r="H5" s="19">
        <v>0</v>
      </c>
      <c r="I5" s="19">
        <v>-45.96</v>
      </c>
      <c r="J5" s="1">
        <v>600</v>
      </c>
      <c r="K5" s="1">
        <v>1.6999999999999999E-3</v>
      </c>
      <c r="L5" s="1">
        <f t="shared" si="1"/>
        <v>1.6666666666666668E-3</v>
      </c>
      <c r="M5" s="1">
        <f t="shared" si="2"/>
        <v>-6.3771270279199666</v>
      </c>
      <c r="N5" s="1">
        <f t="shared" si="3"/>
        <v>-2.7695510786217259</v>
      </c>
    </row>
    <row r="6" spans="1:14" x14ac:dyDescent="0.15">
      <c r="A6" s="1" t="s">
        <v>54</v>
      </c>
      <c r="B6" s="1" t="s">
        <v>5</v>
      </c>
      <c r="C6" s="1">
        <f>F2*F6+E2*E6+D2*D6</f>
        <v>-198.76200000000006</v>
      </c>
      <c r="D6" s="1">
        <v>191.61</v>
      </c>
      <c r="E6" s="1">
        <v>130.684</v>
      </c>
      <c r="F6" s="1">
        <v>192.45</v>
      </c>
      <c r="G6" s="19">
        <v>191.5</v>
      </c>
      <c r="H6" s="19">
        <v>130.5</v>
      </c>
      <c r="I6" s="19">
        <v>192.5</v>
      </c>
      <c r="J6" s="1">
        <v>700</v>
      </c>
      <c r="K6" s="4">
        <v>8.8999999999999995E-5</v>
      </c>
      <c r="L6" s="1">
        <f t="shared" si="1"/>
        <v>1.4285714285714286E-3</v>
      </c>
      <c r="M6" s="1">
        <f t="shared" si="2"/>
        <v>-9.326874188232134</v>
      </c>
      <c r="N6" s="1">
        <f t="shared" si="3"/>
        <v>-4.0506099933550876</v>
      </c>
    </row>
    <row r="7" spans="1:14" x14ac:dyDescent="0.15">
      <c r="A7" s="1" t="s">
        <v>52</v>
      </c>
      <c r="B7" s="1" t="s">
        <v>6</v>
      </c>
      <c r="C7" s="1">
        <f>D7*D$2+E7*E$2+F7*F$2</f>
        <v>-61.089999999999989</v>
      </c>
      <c r="D7" s="1">
        <v>28.9</v>
      </c>
      <c r="E7" s="1">
        <v>29.11</v>
      </c>
      <c r="F7" s="1">
        <v>27.57</v>
      </c>
      <c r="G7" s="19"/>
      <c r="H7" s="19"/>
      <c r="I7" s="19"/>
      <c r="J7" s="1">
        <v>800</v>
      </c>
      <c r="K7" s="4">
        <v>9.0350000000000007E-6</v>
      </c>
      <c r="L7" s="1">
        <f t="shared" si="1"/>
        <v>1.25E-3</v>
      </c>
      <c r="M7" s="1">
        <f t="shared" si="2"/>
        <v>-11.614404633920083</v>
      </c>
      <c r="N7" s="1">
        <f t="shared" si="3"/>
        <v>-5.0440718431030493</v>
      </c>
    </row>
    <row r="8" spans="1:14" x14ac:dyDescent="0.15">
      <c r="A8" s="1" t="s">
        <v>7</v>
      </c>
      <c r="B8" s="1" t="s">
        <v>8</v>
      </c>
      <c r="C8" s="16">
        <f>D8*D$2+E8*E$2+F8*F$2</f>
        <v>5.8530000000000006E-2</v>
      </c>
      <c r="D8" s="17">
        <v>-1.57E-3</v>
      </c>
      <c r="E8" s="17">
        <v>-1.92E-3</v>
      </c>
      <c r="F8" s="17">
        <v>2.5600000000000001E-2</v>
      </c>
      <c r="G8" s="19"/>
      <c r="H8" s="19"/>
      <c r="I8" s="19"/>
      <c r="J8" s="1">
        <v>900</v>
      </c>
      <c r="K8" s="4">
        <v>1.477E-6</v>
      </c>
      <c r="L8" s="1">
        <f t="shared" si="1"/>
        <v>1.1111111111111111E-3</v>
      </c>
      <c r="M8" s="1">
        <f t="shared" si="2"/>
        <v>-13.425497554415031</v>
      </c>
      <c r="N8" s="1">
        <f t="shared" si="3"/>
        <v>-5.8306195046880509</v>
      </c>
    </row>
    <row r="9" spans="1:14" x14ac:dyDescent="0.15">
      <c r="B9" s="1" t="s">
        <v>9</v>
      </c>
      <c r="C9" s="16">
        <f>D9*D$2+E9*E$2+F9*F$2</f>
        <v>-2.600000000000009E-7</v>
      </c>
      <c r="D9" s="17">
        <v>8.0800000000000006E-6</v>
      </c>
      <c r="E9" s="17">
        <v>3.9999999999999998E-6</v>
      </c>
      <c r="F9" s="17">
        <v>9.91E-6</v>
      </c>
      <c r="G9" s="19"/>
      <c r="H9" s="19"/>
      <c r="I9" s="19"/>
      <c r="J9" s="1">
        <v>1000</v>
      </c>
      <c r="K9" s="4">
        <v>3.3999999999999997E-7</v>
      </c>
      <c r="L9" s="1">
        <f t="shared" si="1"/>
        <v>1E-3</v>
      </c>
      <c r="M9" s="1">
        <f t="shared" si="2"/>
        <v>-14.894320219336205</v>
      </c>
      <c r="N9" s="1">
        <f t="shared" si="3"/>
        <v>-6.4685210829577446</v>
      </c>
    </row>
    <row r="10" spans="1:14" x14ac:dyDescent="0.15">
      <c r="B10" s="1" t="s">
        <v>10</v>
      </c>
      <c r="C10" s="16">
        <f>D10*D$2+E10*E$2+F10*F$2</f>
        <v>-7.8999999999999996E-9</v>
      </c>
      <c r="D10" s="17">
        <v>-2.8699999999999998E-9</v>
      </c>
      <c r="E10" s="17">
        <v>-8.6999999999999999E-10</v>
      </c>
      <c r="F10" s="17">
        <v>-6.6899999999999999E-9</v>
      </c>
      <c r="G10" s="19"/>
      <c r="H10" s="19"/>
      <c r="I10" s="19"/>
    </row>
    <row r="11" spans="1:14" x14ac:dyDescent="0.15">
      <c r="B11" s="1" t="s">
        <v>11</v>
      </c>
      <c r="C11" s="18">
        <f>C7*(C4-C3)+(C8/2)*(C4^2-C3^2)+(C9/3)*(C4^3-C3^3)+(C10/4)*(C4^4-C3^4)</f>
        <v>-14857.230465131037</v>
      </c>
      <c r="D11" s="18">
        <f t="shared" ref="D11:F11" si="5">D7*(D4-D3)+(D8/2)*(D4^2-D3^2)+(D9/3)*(D4^3-D3^3)+(D10/4)*(D4^4-D3^4)</f>
        <v>14250.380573315895</v>
      </c>
      <c r="E11" s="18">
        <f t="shared" si="5"/>
        <v>13843.501274028396</v>
      </c>
      <c r="F11" s="18">
        <f t="shared" si="5"/>
        <v>20461.82696513502</v>
      </c>
      <c r="G11" s="19"/>
      <c r="H11" s="19"/>
      <c r="I11" s="19"/>
    </row>
    <row r="12" spans="1:14" x14ac:dyDescent="0.15">
      <c r="B12" s="1" t="s">
        <v>12</v>
      </c>
      <c r="C12" s="15">
        <f>C7*LN(C4/C3)+C8*(C4-C3)+(C9/2)*(C4^2-C3^2)+(C10/3)*(C4^3-C3^3)</f>
        <v>-31.641112893423774</v>
      </c>
      <c r="D12" s="15">
        <f t="shared" ref="D12:F12" si="6">D7*LN(D4/D3)+D8*(D4-D3)+(D9/2)*(D4^2-D3^2)+(D10/3)*(D4^3-D3^3)</f>
        <v>28.440003893253635</v>
      </c>
      <c r="E12" s="15">
        <f t="shared" si="6"/>
        <v>27.726408077957529</v>
      </c>
      <c r="F12" s="15">
        <f t="shared" si="6"/>
        <v>39.989057616851227</v>
      </c>
      <c r="G12" s="19"/>
      <c r="H12" s="19"/>
      <c r="I12" s="19"/>
    </row>
    <row r="13" spans="1:14" x14ac:dyDescent="0.15">
      <c r="A13" s="1" t="s">
        <v>55</v>
      </c>
      <c r="B13" s="1" t="s">
        <v>4</v>
      </c>
      <c r="C13" s="15">
        <f>C5+C11/1000</f>
        <v>-107.07723046513104</v>
      </c>
      <c r="D13" s="20">
        <f>D5+D11/1000</f>
        <v>14.250380573315896</v>
      </c>
      <c r="E13" s="20">
        <f t="shared" ref="E13:F13" si="7">E5+E11/1000</f>
        <v>13.843501274028396</v>
      </c>
      <c r="F13" s="20">
        <f t="shared" si="7"/>
        <v>-25.648173034864978</v>
      </c>
      <c r="G13" s="19">
        <v>14.2</v>
      </c>
      <c r="H13" s="19">
        <v>13.9</v>
      </c>
      <c r="I13" s="19">
        <v>-25.45</v>
      </c>
    </row>
    <row r="14" spans="1:14" x14ac:dyDescent="0.15">
      <c r="A14" s="1" t="s">
        <v>142</v>
      </c>
      <c r="B14" s="1" t="s">
        <v>5</v>
      </c>
      <c r="C14" s="14">
        <f>C6+C12</f>
        <v>-230.40311289342384</v>
      </c>
      <c r="D14" s="20">
        <f>D6+D12</f>
        <v>220.05000389325366</v>
      </c>
      <c r="E14" s="20">
        <f t="shared" ref="E14:F14" si="8">E6+E12</f>
        <v>158.41040807795753</v>
      </c>
      <c r="F14" s="20">
        <f t="shared" si="8"/>
        <v>232.43905761685122</v>
      </c>
      <c r="G14" s="19">
        <v>220</v>
      </c>
      <c r="H14" s="19">
        <v>158</v>
      </c>
      <c r="I14" s="19">
        <v>232</v>
      </c>
    </row>
    <row r="15" spans="1:14" x14ac:dyDescent="0.15">
      <c r="A15" s="1" t="s">
        <v>57</v>
      </c>
      <c r="B15" s="1" t="s">
        <v>4</v>
      </c>
      <c r="C15" s="14">
        <f>C13-C4*C14/1000</f>
        <v>71.024375801485604</v>
      </c>
      <c r="D15" s="20">
        <f>D13-$C$4*D14/1000</f>
        <v>-155.84827243616917</v>
      </c>
      <c r="E15" s="20">
        <f t="shared" ref="E15:F15" si="9">E13-$C$4*E14/1000</f>
        <v>-108.60774417023276</v>
      </c>
      <c r="F15" s="20">
        <f t="shared" si="9"/>
        <v>-205.32356457269097</v>
      </c>
      <c r="G15" s="20">
        <f>F2*F15+E2*E15+D2*D15</f>
        <v>71.024375801485519</v>
      </c>
      <c r="H15"/>
    </row>
    <row r="16" spans="1:14" x14ac:dyDescent="0.15">
      <c r="A16" s="1" t="s">
        <v>13</v>
      </c>
      <c r="B16" s="1" t="s">
        <v>5</v>
      </c>
      <c r="C16" s="1">
        <v>8.3145000000000007</v>
      </c>
    </row>
    <row r="17" spans="1:14" x14ac:dyDescent="0.15">
      <c r="A17" s="1" t="s">
        <v>22</v>
      </c>
      <c r="C17" s="1">
        <f>-1*C15*1000/C16/C4</f>
        <v>-11.05075101836006</v>
      </c>
      <c r="H17"/>
    </row>
    <row r="18" spans="1:14" x14ac:dyDescent="0.15">
      <c r="A18" s="1" t="s">
        <v>58</v>
      </c>
      <c r="C18" s="4">
        <f>EXP(C17)</f>
        <v>1.5875222169408761E-5</v>
      </c>
    </row>
    <row r="19" spans="1:14" ht="7.5" customHeight="1" x14ac:dyDescent="0.15">
      <c r="H19"/>
    </row>
    <row r="20" spans="1:14" x14ac:dyDescent="0.15">
      <c r="A20" s="1" t="s">
        <v>15</v>
      </c>
    </row>
    <row r="21" spans="1:14" ht="13.8" thickBot="1" x14ac:dyDescent="0.2">
      <c r="A21" s="1" t="s">
        <v>27</v>
      </c>
      <c r="B21" s="1" t="s">
        <v>28</v>
      </c>
      <c r="D21" s="1">
        <v>1</v>
      </c>
      <c r="E21" s="1">
        <v>3</v>
      </c>
      <c r="F21" s="1">
        <v>0</v>
      </c>
      <c r="N21" s="1" t="s">
        <v>120</v>
      </c>
    </row>
    <row r="22" spans="1:14" ht="13.8" thickBot="1" x14ac:dyDescent="0.2">
      <c r="A22" s="1" t="s">
        <v>29</v>
      </c>
      <c r="C22" s="5">
        <v>0.18825114157827344</v>
      </c>
    </row>
    <row r="23" spans="1:14" x14ac:dyDescent="0.15">
      <c r="A23" s="1" t="s">
        <v>65</v>
      </c>
      <c r="B23" s="1" t="s">
        <v>28</v>
      </c>
      <c r="C23" s="1">
        <f>SUM(D23:F23)</f>
        <v>3.623497716843453</v>
      </c>
      <c r="D23" s="1">
        <f>D21*(1-$C$22)</f>
        <v>0.8117488584217265</v>
      </c>
      <c r="E23" s="1">
        <f>E21*(1-$C$22)</f>
        <v>2.4352465752651797</v>
      </c>
      <c r="F23" s="1">
        <f>F2*C22</f>
        <v>0.37650228315654688</v>
      </c>
    </row>
    <row r="24" spans="1:14" ht="13.8" thickBot="1" x14ac:dyDescent="0.2">
      <c r="A24" s="1" t="s">
        <v>30</v>
      </c>
      <c r="D24" s="1">
        <f>D23/$C$23</f>
        <v>0.22402356006694751</v>
      </c>
      <c r="E24" s="1">
        <f>E23/$C$23</f>
        <v>0.6720706802008426</v>
      </c>
      <c r="F24" s="1">
        <f>F23/$C$23</f>
        <v>0.10390575973220988</v>
      </c>
    </row>
    <row r="25" spans="1:14" ht="13.8" thickBot="1" x14ac:dyDescent="0.2">
      <c r="A25" s="1" t="s">
        <v>62</v>
      </c>
      <c r="B25" s="1" t="s">
        <v>31</v>
      </c>
      <c r="C25" s="5">
        <v>10</v>
      </c>
    </row>
    <row r="26" spans="1:14" x14ac:dyDescent="0.15">
      <c r="A26" s="1" t="s">
        <v>141</v>
      </c>
      <c r="B26" s="1" t="s">
        <v>31</v>
      </c>
      <c r="D26" s="1">
        <f>$C$25*D24</f>
        <v>2.2402356006694752</v>
      </c>
      <c r="E26" s="1">
        <f>$C$25*E24</f>
        <v>6.7207068020084257</v>
      </c>
      <c r="F26" s="1">
        <f>$C$25*F24</f>
        <v>1.0390575973220988</v>
      </c>
    </row>
    <row r="27" spans="1:14" x14ac:dyDescent="0.15">
      <c r="A27" s="1" t="s">
        <v>63</v>
      </c>
      <c r="B27" s="1" t="s">
        <v>31</v>
      </c>
      <c r="C27" s="1">
        <v>0.1</v>
      </c>
    </row>
    <row r="28" spans="1:14" x14ac:dyDescent="0.15">
      <c r="A28" s="1" t="s">
        <v>64</v>
      </c>
      <c r="C28" s="4">
        <f>(F26/C27)^F2*(D26/C27)^D2*(E26/C27)^E2/C18-1</f>
        <v>4.8102547774986348E-5</v>
      </c>
      <c r="H28"/>
    </row>
    <row r="37" spans="1:24" x14ac:dyDescent="0.15">
      <c r="A37" s="1" t="s">
        <v>34</v>
      </c>
      <c r="B37" s="1" t="s">
        <v>59</v>
      </c>
      <c r="C37" s="1" t="s">
        <v>60</v>
      </c>
      <c r="D37" s="1" t="s">
        <v>61</v>
      </c>
    </row>
    <row r="38" spans="1:24" x14ac:dyDescent="0.15">
      <c r="A38" s="1" t="s">
        <v>35</v>
      </c>
      <c r="B38" s="1" t="s">
        <v>36</v>
      </c>
      <c r="C38" s="1" t="s">
        <v>37</v>
      </c>
      <c r="D38" s="1" t="s">
        <v>38</v>
      </c>
    </row>
    <row r="39" spans="1:24" x14ac:dyDescent="0.15">
      <c r="A39" s="1">
        <v>5</v>
      </c>
      <c r="B39" s="1">
        <v>0.84599999999999997</v>
      </c>
      <c r="C39" s="1">
        <v>0.27100000000000002</v>
      </c>
      <c r="D39" s="1">
        <v>0.109</v>
      </c>
    </row>
    <row r="40" spans="1:24" x14ac:dyDescent="0.15">
      <c r="A40" s="1">
        <v>10</v>
      </c>
      <c r="B40" s="1">
        <v>0.89</v>
      </c>
      <c r="C40" s="1">
        <v>0.39800000000000002</v>
      </c>
      <c r="D40" s="1">
        <v>0.188</v>
      </c>
    </row>
    <row r="41" spans="1:24" x14ac:dyDescent="0.15">
      <c r="A41" s="1">
        <v>15</v>
      </c>
      <c r="B41" s="1">
        <v>0.91</v>
      </c>
      <c r="C41" s="1">
        <v>0.47599999999999998</v>
      </c>
      <c r="D41" s="1">
        <v>0.249</v>
      </c>
    </row>
    <row r="42" spans="1:24" x14ac:dyDescent="0.15">
      <c r="A42" s="1">
        <v>20</v>
      </c>
      <c r="B42" s="1">
        <v>0.92200000000000004</v>
      </c>
      <c r="C42" s="1">
        <v>0.53</v>
      </c>
      <c r="D42" s="1">
        <v>0.29899999999999999</v>
      </c>
    </row>
    <row r="43" spans="1:24" x14ac:dyDescent="0.15">
      <c r="A43" s="1">
        <v>25</v>
      </c>
      <c r="B43" s="1">
        <v>0.93</v>
      </c>
      <c r="C43" s="1">
        <v>0.56999999999999995</v>
      </c>
      <c r="D43" s="1">
        <v>0.33900000000000002</v>
      </c>
    </row>
    <row r="44" spans="1:24" x14ac:dyDescent="0.15">
      <c r="Q44" s="13"/>
      <c r="X44" s="13"/>
    </row>
    <row r="46" spans="1:24" x14ac:dyDescent="0.15">
      <c r="A46" s="1" t="s">
        <v>50</v>
      </c>
      <c r="B46" s="1" t="s">
        <v>51</v>
      </c>
      <c r="C46" s="1" t="s">
        <v>86</v>
      </c>
      <c r="D46" s="1" t="s">
        <v>121</v>
      </c>
    </row>
    <row r="47" spans="1:24" x14ac:dyDescent="0.15">
      <c r="A47" s="1">
        <v>298</v>
      </c>
      <c r="B47" s="4">
        <v>610000</v>
      </c>
      <c r="D47" s="1">
        <f>LOG(B47)</f>
        <v>5.7853298350107671</v>
      </c>
    </row>
    <row r="48" spans="1:24" x14ac:dyDescent="0.15">
      <c r="A48" s="1">
        <v>398</v>
      </c>
      <c r="B48" s="1">
        <f t="shared" ref="B48:B53" si="10">$B$47/C48</f>
        <v>53.067368966157467</v>
      </c>
      <c r="C48" s="1">
        <f t="shared" ref="C48:C53" si="11">EXP(-(92200/8.3145)*(1/A48-1/298))</f>
        <v>11494.82274858989</v>
      </c>
      <c r="D48" s="1">
        <f t="shared" ref="D48:D53" si="12">LOG(B48)</f>
        <v>1.7248275562217226</v>
      </c>
    </row>
    <row r="49" spans="1:23" x14ac:dyDescent="0.15">
      <c r="A49" s="1">
        <v>500</v>
      </c>
      <c r="B49" s="1">
        <f t="shared" si="10"/>
        <v>0.1804542067957477</v>
      </c>
      <c r="C49" s="1">
        <f t="shared" si="11"/>
        <v>3380358.9887513462</v>
      </c>
      <c r="D49" s="1">
        <f t="shared" si="12"/>
        <v>-0.74363298909971398</v>
      </c>
    </row>
    <row r="50" spans="1:23" x14ac:dyDescent="0.15">
      <c r="A50" s="1">
        <v>598</v>
      </c>
      <c r="B50" s="1">
        <f t="shared" si="10"/>
        <v>4.7632738712517367E-3</v>
      </c>
      <c r="C50" s="1">
        <f t="shared" si="11"/>
        <v>128063180.17563382</v>
      </c>
      <c r="D50" s="1">
        <f t="shared" si="12"/>
        <v>-2.322094447387427</v>
      </c>
    </row>
    <row r="51" spans="1:23" x14ac:dyDescent="0.15">
      <c r="A51" s="1">
        <v>698</v>
      </c>
      <c r="B51" s="1">
        <f t="shared" si="10"/>
        <v>3.3429272837632733E-4</v>
      </c>
      <c r="C51" s="1">
        <f t="shared" si="11"/>
        <v>1824748037.3348038</v>
      </c>
      <c r="D51" s="1">
        <f t="shared" si="12"/>
        <v>-3.4758730701929008</v>
      </c>
      <c r="Q51" s="4"/>
      <c r="W51" s="4"/>
    </row>
    <row r="52" spans="1:23" x14ac:dyDescent="0.15">
      <c r="A52" s="1">
        <v>850</v>
      </c>
      <c r="B52" s="1">
        <f t="shared" si="10"/>
        <v>1.9512674151127048E-5</v>
      </c>
      <c r="C52" s="1">
        <f t="shared" si="11"/>
        <v>31261732516.799419</v>
      </c>
      <c r="D52" s="1">
        <f t="shared" si="12"/>
        <v>-4.7096832078226214</v>
      </c>
    </row>
    <row r="53" spans="1:23" x14ac:dyDescent="0.15">
      <c r="A53" s="1">
        <v>1000</v>
      </c>
      <c r="B53" s="1">
        <f t="shared" si="10"/>
        <v>2.7570769546609579E-6</v>
      </c>
      <c r="C53" s="1">
        <f t="shared" si="11"/>
        <v>221248811705.7337</v>
      </c>
      <c r="D53" s="1">
        <f t="shared" si="12"/>
        <v>-5.559551111834673</v>
      </c>
    </row>
    <row r="55" spans="1:23" x14ac:dyDescent="0.15">
      <c r="A55" s="8" t="s">
        <v>81</v>
      </c>
    </row>
    <row r="56" spans="1:23" x14ac:dyDescent="0.15">
      <c r="A56" s="1" t="s">
        <v>80</v>
      </c>
    </row>
    <row r="57" spans="1:23" x14ac:dyDescent="0.15">
      <c r="A57" s="1" t="s">
        <v>20</v>
      </c>
      <c r="B57" s="1" t="s">
        <v>2</v>
      </c>
    </row>
    <row r="58" spans="1:23" x14ac:dyDescent="0.15">
      <c r="A58" s="1">
        <v>298</v>
      </c>
      <c r="B58" s="4">
        <v>610000</v>
      </c>
      <c r="C58" s="1" t="s">
        <v>82</v>
      </c>
    </row>
    <row r="59" spans="1:23" x14ac:dyDescent="0.15">
      <c r="A59" s="1" t="s">
        <v>83</v>
      </c>
    </row>
    <row r="60" spans="1:23" x14ac:dyDescent="0.15">
      <c r="A60" s="1" t="s">
        <v>20</v>
      </c>
      <c r="B60" s="1" t="s">
        <v>2</v>
      </c>
    </row>
    <row r="61" spans="1:23" x14ac:dyDescent="0.15">
      <c r="A61" s="1">
        <v>673</v>
      </c>
      <c r="B61" s="4">
        <v>1.64E-4</v>
      </c>
    </row>
    <row r="62" spans="1:23" x14ac:dyDescent="0.15">
      <c r="A62" s="1">
        <v>773</v>
      </c>
      <c r="B62" s="4">
        <v>1.4399999999999999E-5</v>
      </c>
      <c r="C62" s="1" t="s">
        <v>82</v>
      </c>
    </row>
    <row r="63" spans="1:23" x14ac:dyDescent="0.15">
      <c r="A63" s="1" t="s">
        <v>119</v>
      </c>
    </row>
    <row r="64" spans="1:23" x14ac:dyDescent="0.15">
      <c r="A64" s="1" t="s">
        <v>20</v>
      </c>
      <c r="B64" s="1" t="s">
        <v>48</v>
      </c>
    </row>
    <row r="65" spans="1:3" x14ac:dyDescent="0.15">
      <c r="A65" s="1">
        <v>300</v>
      </c>
      <c r="B65" s="1">
        <f>EXP(9133/A65-7.777*LN(A65)+0.004309*A65-0.0000004098*A65^2+25.73)</f>
        <v>474888.36195581651</v>
      </c>
    </row>
    <row r="66" spans="1:3" x14ac:dyDescent="0.15">
      <c r="A66" s="1">
        <v>400</v>
      </c>
      <c r="B66" s="1">
        <f t="shared" ref="B66:B73" si="13">EXP(9133/A66-7.777*LN(A66)+0.004309*A66-0.0000004098*A66^2+25.73)</f>
        <v>37.52142927670269</v>
      </c>
    </row>
    <row r="67" spans="1:3" x14ac:dyDescent="0.15">
      <c r="A67" s="1">
        <v>473.15</v>
      </c>
      <c r="B67" s="1">
        <f t="shared" si="13"/>
        <v>0.39766596207597338</v>
      </c>
    </row>
    <row r="68" spans="1:3" x14ac:dyDescent="0.15">
      <c r="A68" s="1">
        <v>500</v>
      </c>
      <c r="B68" s="1">
        <f t="shared" si="13"/>
        <v>0.10198218055209897</v>
      </c>
    </row>
    <row r="69" spans="1:3" x14ac:dyDescent="0.15">
      <c r="A69" s="1">
        <v>600</v>
      </c>
      <c r="B69" s="1">
        <f t="shared" si="13"/>
        <v>1.7304336070755801E-3</v>
      </c>
    </row>
    <row r="70" spans="1:3" x14ac:dyDescent="0.15">
      <c r="A70" s="1">
        <v>700</v>
      </c>
      <c r="B70" s="1">
        <f t="shared" si="13"/>
        <v>8.6522080691697149E-5</v>
      </c>
    </row>
    <row r="71" spans="1:3" x14ac:dyDescent="0.15">
      <c r="A71" s="1">
        <v>800</v>
      </c>
      <c r="B71" s="1">
        <f t="shared" si="13"/>
        <v>8.6751546424304045E-6</v>
      </c>
    </row>
    <row r="72" spans="1:3" x14ac:dyDescent="0.15">
      <c r="A72" s="1">
        <v>900</v>
      </c>
      <c r="B72" s="1">
        <f t="shared" si="13"/>
        <v>1.4010560327341177E-6</v>
      </c>
    </row>
    <row r="73" spans="1:3" x14ac:dyDescent="0.15">
      <c r="A73" s="1">
        <v>1000</v>
      </c>
      <c r="B73" s="1">
        <f t="shared" si="13"/>
        <v>3.1857344096274878E-7</v>
      </c>
      <c r="C73" s="1" t="s">
        <v>82</v>
      </c>
    </row>
    <row r="74" spans="1:3" x14ac:dyDescent="0.15">
      <c r="A74" s="1" t="s">
        <v>118</v>
      </c>
    </row>
    <row r="75" spans="1:3" x14ac:dyDescent="0.15">
      <c r="A75" s="1" t="s">
        <v>20</v>
      </c>
      <c r="B75" s="1" t="s">
        <v>2</v>
      </c>
    </row>
    <row r="76" spans="1:3" x14ac:dyDescent="0.15">
      <c r="A76" s="1">
        <v>298</v>
      </c>
      <c r="B76" s="4">
        <v>680000</v>
      </c>
    </row>
    <row r="77" spans="1:3" x14ac:dyDescent="0.15">
      <c r="A77" s="1">
        <v>400</v>
      </c>
      <c r="B77" s="1">
        <v>41</v>
      </c>
    </row>
    <row r="78" spans="1:3" x14ac:dyDescent="0.15">
      <c r="A78" s="1">
        <v>500</v>
      </c>
      <c r="B78" s="4">
        <v>3.5999999999999997E-2</v>
      </c>
      <c r="C78" s="1" t="s">
        <v>84</v>
      </c>
    </row>
    <row r="79" spans="1:3" x14ac:dyDescent="0.15">
      <c r="A79" s="1" t="s">
        <v>85</v>
      </c>
    </row>
    <row r="80" spans="1:3" x14ac:dyDescent="0.15">
      <c r="A80" s="1" t="s">
        <v>20</v>
      </c>
      <c r="B80" s="1" t="s">
        <v>2</v>
      </c>
    </row>
    <row r="81" spans="1:3" x14ac:dyDescent="0.15">
      <c r="A81" s="1">
        <v>800</v>
      </c>
      <c r="B81" s="4">
        <v>8.9299999999999992E-6</v>
      </c>
      <c r="C81" s="1" t="s">
        <v>84</v>
      </c>
    </row>
    <row r="82" spans="1:3" x14ac:dyDescent="0.15">
      <c r="A82" s="1" t="s">
        <v>87</v>
      </c>
    </row>
    <row r="83" spans="1:3" x14ac:dyDescent="0.15">
      <c r="A83" s="1" t="s">
        <v>20</v>
      </c>
      <c r="B83" s="1" t="s">
        <v>88</v>
      </c>
    </row>
    <row r="84" spans="1:3" x14ac:dyDescent="0.15">
      <c r="A84" s="1">
        <v>298</v>
      </c>
      <c r="B84" s="4">
        <v>581000</v>
      </c>
    </row>
    <row r="85" spans="1:3" x14ac:dyDescent="0.15">
      <c r="A85" s="1">
        <v>1000</v>
      </c>
      <c r="B85" s="4">
        <v>2.8200000000000001E-7</v>
      </c>
      <c r="C85" s="1" t="s">
        <v>84</v>
      </c>
    </row>
    <row r="86" spans="1:3" x14ac:dyDescent="0.15">
      <c r="A86" s="1" t="s">
        <v>116</v>
      </c>
    </row>
    <row r="87" spans="1:3" x14ac:dyDescent="0.15">
      <c r="A87" s="1" t="s">
        <v>20</v>
      </c>
      <c r="B87" s="1" t="s">
        <v>2</v>
      </c>
    </row>
    <row r="88" spans="1:3" x14ac:dyDescent="0.15">
      <c r="A88" s="1">
        <v>300</v>
      </c>
      <c r="B88" s="1">
        <f>EXP(-23.85+11100/A88)</f>
        <v>514011.02827753447</v>
      </c>
    </row>
    <row r="89" spans="1:3" x14ac:dyDescent="0.15">
      <c r="A89" s="1">
        <v>400</v>
      </c>
      <c r="B89" s="1">
        <f t="shared" ref="B89:B95" si="14">EXP(-23.85+11100/A89)</f>
        <v>49.402449105530103</v>
      </c>
    </row>
    <row r="90" spans="1:3" x14ac:dyDescent="0.15">
      <c r="A90" s="1">
        <v>500</v>
      </c>
      <c r="B90" s="1">
        <f t="shared" si="14"/>
        <v>0.19204990862075372</v>
      </c>
    </row>
    <row r="91" spans="1:3" x14ac:dyDescent="0.15">
      <c r="A91" s="1">
        <v>600</v>
      </c>
      <c r="B91" s="1">
        <f t="shared" si="14"/>
        <v>4.748150999411469E-3</v>
      </c>
    </row>
    <row r="92" spans="1:3" x14ac:dyDescent="0.15">
      <c r="A92" s="1">
        <v>700</v>
      </c>
      <c r="B92" s="1">
        <f t="shared" si="14"/>
        <v>3.3786736766244714E-4</v>
      </c>
    </row>
    <row r="93" spans="1:3" x14ac:dyDescent="0.15">
      <c r="A93" s="1">
        <v>800</v>
      </c>
      <c r="B93" s="1">
        <f t="shared" si="14"/>
        <v>4.654923445622269E-5</v>
      </c>
    </row>
    <row r="94" spans="1:3" x14ac:dyDescent="0.15">
      <c r="A94" s="1">
        <v>900</v>
      </c>
      <c r="B94" s="1">
        <f t="shared" si="14"/>
        <v>9.9626578787943985E-6</v>
      </c>
    </row>
    <row r="95" spans="1:3" x14ac:dyDescent="0.15">
      <c r="A95" s="1">
        <v>1000</v>
      </c>
      <c r="B95" s="1">
        <f t="shared" si="14"/>
        <v>2.9023204086503985E-6</v>
      </c>
      <c r="C95" s="1" t="s">
        <v>117</v>
      </c>
    </row>
    <row r="96" spans="1:3" x14ac:dyDescent="0.15">
      <c r="A96" s="1" t="s">
        <v>122</v>
      </c>
    </row>
    <row r="97" spans="1:3" x14ac:dyDescent="0.15">
      <c r="A97" s="1" t="s">
        <v>20</v>
      </c>
      <c r="B97" s="1" t="s">
        <v>123</v>
      </c>
    </row>
    <row r="98" spans="1:3" x14ac:dyDescent="0.15">
      <c r="A98" s="1">
        <v>400</v>
      </c>
      <c r="B98" s="1">
        <v>39.85</v>
      </c>
    </row>
    <row r="99" spans="1:3" x14ac:dyDescent="0.15">
      <c r="A99" s="1">
        <v>500</v>
      </c>
      <c r="B99" s="1">
        <v>0.112</v>
      </c>
    </row>
    <row r="100" spans="1:3" x14ac:dyDescent="0.15">
      <c r="A100" s="1">
        <v>700</v>
      </c>
      <c r="B100" s="4">
        <v>9.9500000000000006E-5</v>
      </c>
    </row>
    <row r="101" spans="1:3" x14ac:dyDescent="0.15">
      <c r="A101" s="1">
        <v>900</v>
      </c>
      <c r="B101" s="4">
        <v>1.6500000000000001E-6</v>
      </c>
    </row>
    <row r="104" spans="1:3" x14ac:dyDescent="0.15">
      <c r="A104" s="12" t="s">
        <v>131</v>
      </c>
    </row>
    <row r="105" spans="1:3" x14ac:dyDescent="0.15">
      <c r="A105" s="1" t="s">
        <v>132</v>
      </c>
      <c r="C105" s="1" t="s">
        <v>133</v>
      </c>
    </row>
    <row r="106" spans="1:3" x14ac:dyDescent="0.15">
      <c r="A106" s="1" t="s">
        <v>134</v>
      </c>
      <c r="B106" s="1">
        <v>0</v>
      </c>
      <c r="C106" s="1" t="s">
        <v>135</v>
      </c>
    </row>
    <row r="107" spans="1:3" x14ac:dyDescent="0.15">
      <c r="A107" s="1" t="s">
        <v>136</v>
      </c>
      <c r="B107" s="1">
        <v>0</v>
      </c>
      <c r="C107" s="1" t="s">
        <v>135</v>
      </c>
    </row>
    <row r="108" spans="1:3" x14ac:dyDescent="0.15">
      <c r="A108" s="1" t="s">
        <v>137</v>
      </c>
      <c r="B108" s="1">
        <v>4.7</v>
      </c>
      <c r="C108" s="1" t="s">
        <v>135</v>
      </c>
    </row>
    <row r="109" spans="1:3" x14ac:dyDescent="0.15">
      <c r="A109" s="1" t="s">
        <v>138</v>
      </c>
      <c r="B109" s="1">
        <f>2*B108</f>
        <v>9.4</v>
      </c>
      <c r="C109" s="1" t="s">
        <v>135</v>
      </c>
    </row>
    <row r="110" spans="1:3" x14ac:dyDescent="0.15">
      <c r="A110" s="1" t="s">
        <v>13</v>
      </c>
      <c r="B110" s="1">
        <v>8.3145000000000007</v>
      </c>
    </row>
    <row r="111" spans="1:3" x14ac:dyDescent="0.15">
      <c r="A111" s="1" t="s">
        <v>139</v>
      </c>
      <c r="B111" s="1">
        <v>500</v>
      </c>
    </row>
    <row r="112" spans="1:3" x14ac:dyDescent="0.15">
      <c r="A112" s="1" t="s">
        <v>140</v>
      </c>
      <c r="B112" s="8">
        <f>EXP(-1*B109*1000/B110/B111)</f>
        <v>0.10423470863249362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4</xdr:col>
                <xdr:colOff>411480</xdr:colOff>
                <xdr:row>0</xdr:row>
                <xdr:rowOff>0</xdr:rowOff>
              </from>
              <to>
                <xdr:col>9</xdr:col>
                <xdr:colOff>594360</xdr:colOff>
                <xdr:row>0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45" r:id="rId6">
          <objectPr defaultSize="0" autoPict="0" r:id="rId7">
            <anchor moveWithCells="1" sizeWithCells="1">
              <from>
                <xdr:col>6</xdr:col>
                <xdr:colOff>7620</xdr:colOff>
                <xdr:row>15</xdr:row>
                <xdr:rowOff>83820</xdr:rowOff>
              </from>
              <to>
                <xdr:col>8</xdr:col>
                <xdr:colOff>152400</xdr:colOff>
                <xdr:row>16</xdr:row>
                <xdr:rowOff>160020</xdr:rowOff>
              </to>
            </anchor>
          </objectPr>
        </oleObject>
      </mc:Choice>
      <mc:Fallback>
        <oleObject progId="Equation.3" shapeId="1045" r:id="rId6"/>
      </mc:Fallback>
    </mc:AlternateContent>
    <mc:AlternateContent xmlns:mc="http://schemas.openxmlformats.org/markup-compatibility/2006">
      <mc:Choice Requires="x14">
        <oleObject progId="Equation.3" shapeId="1046" r:id="rId8">
          <objectPr defaultSize="0" autoPict="0" r:id="rId9">
            <anchor moveWithCells="1" sizeWithCells="1">
              <from>
                <xdr:col>6</xdr:col>
                <xdr:colOff>83820</xdr:colOff>
                <xdr:row>16</xdr:row>
                <xdr:rowOff>91440</xdr:rowOff>
              </from>
              <to>
                <xdr:col>11</xdr:col>
                <xdr:colOff>198120</xdr:colOff>
                <xdr:row>18</xdr:row>
                <xdr:rowOff>0</xdr:rowOff>
              </to>
            </anchor>
          </objectPr>
        </oleObject>
      </mc:Choice>
      <mc:Fallback>
        <oleObject progId="Equation.3" shapeId="1046" r:id="rId8"/>
      </mc:Fallback>
    </mc:AlternateContent>
    <mc:AlternateContent xmlns:mc="http://schemas.openxmlformats.org/markup-compatibility/2006">
      <mc:Choice Requires="x14">
        <oleObject progId="Equation.3" shapeId="1047" r:id="rId10">
          <objectPr defaultSize="0" autoPict="0" r:id="rId11">
            <anchor moveWithCells="1" sizeWithCells="1">
              <from>
                <xdr:col>6</xdr:col>
                <xdr:colOff>129540</xdr:colOff>
                <xdr:row>17</xdr:row>
                <xdr:rowOff>144780</xdr:rowOff>
              </from>
              <to>
                <xdr:col>14</xdr:col>
                <xdr:colOff>403860</xdr:colOff>
                <xdr:row>20</xdr:row>
                <xdr:rowOff>38100</xdr:rowOff>
              </to>
            </anchor>
          </objectPr>
        </oleObject>
      </mc:Choice>
      <mc:Fallback>
        <oleObject progId="Equation.3" shapeId="1047" r:id="rId10"/>
      </mc:Fallback>
    </mc:AlternateContent>
    <mc:AlternateContent xmlns:mc="http://schemas.openxmlformats.org/markup-compatibility/2006">
      <mc:Choice Requires="x14">
        <oleObject progId="Equation.3" shapeId="1049" r:id="rId12">
          <objectPr defaultSize="0" autoPict="0" r:id="rId13">
            <anchor moveWithCells="1" sizeWithCells="1">
              <from>
                <xdr:col>7</xdr:col>
                <xdr:colOff>7620</xdr:colOff>
                <xdr:row>22</xdr:row>
                <xdr:rowOff>99060</xdr:rowOff>
              </from>
              <to>
                <xdr:col>9</xdr:col>
                <xdr:colOff>358140</xdr:colOff>
                <xdr:row>23</xdr:row>
                <xdr:rowOff>152400</xdr:rowOff>
              </to>
            </anchor>
          </objectPr>
        </oleObject>
      </mc:Choice>
      <mc:Fallback>
        <oleObject progId="Equation.3" shapeId="1049" r:id="rId12"/>
      </mc:Fallback>
    </mc:AlternateContent>
    <mc:AlternateContent xmlns:mc="http://schemas.openxmlformats.org/markup-compatibility/2006">
      <mc:Choice Requires="x14">
        <oleObject progId="Equation.3" shapeId="1050" r:id="rId14">
          <objectPr defaultSize="0" autoPict="0" r:id="rId15">
            <anchor moveWithCells="1" sizeWithCells="1">
              <from>
                <xdr:col>7</xdr:col>
                <xdr:colOff>129540</xdr:colOff>
                <xdr:row>24</xdr:row>
                <xdr:rowOff>15240</xdr:rowOff>
              </from>
              <to>
                <xdr:col>8</xdr:col>
                <xdr:colOff>777240</xdr:colOff>
                <xdr:row>24</xdr:row>
                <xdr:rowOff>167640</xdr:rowOff>
              </to>
            </anchor>
          </objectPr>
        </oleObject>
      </mc:Choice>
      <mc:Fallback>
        <oleObject progId="Equation.3" shapeId="1050" r:id="rId14"/>
      </mc:Fallback>
    </mc:AlternateContent>
    <mc:AlternateContent xmlns:mc="http://schemas.openxmlformats.org/markup-compatibility/2006">
      <mc:Choice Requires="x14">
        <oleObject progId="Equation.3" shapeId="1051" r:id="rId16">
          <objectPr defaultSize="0" autoPict="0" r:id="rId17">
            <anchor moveWithCells="1" sizeWithCells="1">
              <from>
                <xdr:col>7</xdr:col>
                <xdr:colOff>0</xdr:colOff>
                <xdr:row>27</xdr:row>
                <xdr:rowOff>0</xdr:rowOff>
              </from>
              <to>
                <xdr:col>9</xdr:col>
                <xdr:colOff>266700</xdr:colOff>
                <xdr:row>29</xdr:row>
                <xdr:rowOff>121920</xdr:rowOff>
              </to>
            </anchor>
          </objectPr>
        </oleObject>
      </mc:Choice>
      <mc:Fallback>
        <oleObject progId="Equation.3" shapeId="1051" r:id="rId16"/>
      </mc:Fallback>
    </mc:AlternateContent>
    <mc:AlternateContent xmlns:mc="http://schemas.openxmlformats.org/markup-compatibility/2006">
      <mc:Choice Requires="x14">
        <oleObject progId="Equation.3" shapeId="1052" r:id="rId18">
          <objectPr defaultSize="0" autoPict="0" r:id="rId19">
            <anchor moveWithCells="1" sizeWithCells="1">
              <from>
                <xdr:col>6</xdr:col>
                <xdr:colOff>274320</xdr:colOff>
                <xdr:row>20</xdr:row>
                <xdr:rowOff>0</xdr:rowOff>
              </from>
              <to>
                <xdr:col>12</xdr:col>
                <xdr:colOff>708660</xdr:colOff>
                <xdr:row>22</xdr:row>
                <xdr:rowOff>60960</xdr:rowOff>
              </to>
            </anchor>
          </objectPr>
        </oleObject>
      </mc:Choice>
      <mc:Fallback>
        <oleObject progId="Equation.3" shapeId="1052" r:id="rId1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1"/>
  <sheetViews>
    <sheetView topLeftCell="B1" workbookViewId="0">
      <selection activeCell="H35" sqref="H35"/>
    </sheetView>
  </sheetViews>
  <sheetFormatPr defaultColWidth="9.28515625" defaultRowHeight="12" x14ac:dyDescent="0.15"/>
  <cols>
    <col min="1" max="1" width="34.85546875" style="2" customWidth="1"/>
    <col min="2" max="2" width="16" style="2" customWidth="1"/>
    <col min="3" max="3" width="13.28515625" style="2" customWidth="1"/>
    <col min="4" max="4" width="13.140625" style="2" customWidth="1"/>
    <col min="5" max="5" width="12.7109375" style="2" customWidth="1"/>
    <col min="6" max="6" width="12.85546875" style="2" customWidth="1"/>
    <col min="7" max="7" width="12.7109375" style="2" customWidth="1"/>
    <col min="8" max="11" width="12" style="2" customWidth="1"/>
    <col min="12" max="16384" width="9.28515625" style="2"/>
  </cols>
  <sheetData>
    <row r="1" spans="1:22" ht="13.2" x14ac:dyDescent="0.15">
      <c r="A1" s="1" t="s">
        <v>14</v>
      </c>
      <c r="B1" s="1"/>
      <c r="C1" s="1" t="s">
        <v>16</v>
      </c>
      <c r="D1" s="1" t="s">
        <v>41</v>
      </c>
      <c r="E1" s="1" t="s">
        <v>42</v>
      </c>
      <c r="F1" s="1" t="s">
        <v>43</v>
      </c>
      <c r="G1" s="1" t="s">
        <v>18</v>
      </c>
      <c r="Q1" s="2" t="s">
        <v>91</v>
      </c>
    </row>
    <row r="2" spans="1:22" ht="13.2" x14ac:dyDescent="0.15">
      <c r="A2" s="1" t="s">
        <v>0</v>
      </c>
      <c r="B2" s="1"/>
      <c r="C2" s="1"/>
      <c r="D2" s="1">
        <v>-1</v>
      </c>
      <c r="E2" s="1">
        <v>-1</v>
      </c>
      <c r="F2" s="1">
        <v>1</v>
      </c>
      <c r="G2" s="1">
        <v>3</v>
      </c>
      <c r="O2" s="2" t="s">
        <v>49</v>
      </c>
      <c r="P2" s="2" t="s">
        <v>2</v>
      </c>
      <c r="Q2" s="2" t="s">
        <v>92</v>
      </c>
      <c r="R2" s="2" t="s">
        <v>78</v>
      </c>
      <c r="S2" s="7" t="s">
        <v>90</v>
      </c>
      <c r="U2" s="2" t="s">
        <v>47</v>
      </c>
      <c r="V2" s="2" t="s">
        <v>121</v>
      </c>
    </row>
    <row r="3" spans="1:22" ht="13.8" thickBot="1" x14ac:dyDescent="0.2">
      <c r="A3" s="1" t="s">
        <v>79</v>
      </c>
      <c r="B3" s="1" t="s">
        <v>2</v>
      </c>
      <c r="C3" s="1">
        <v>298</v>
      </c>
      <c r="D3" s="1"/>
      <c r="E3" s="1"/>
      <c r="F3" s="1"/>
      <c r="G3" s="1"/>
      <c r="O3" s="2">
        <v>700</v>
      </c>
      <c r="P3" s="2">
        <v>2.5000000000000001E-4</v>
      </c>
      <c r="Q3" s="2">
        <f>EXP(-22666/O3+8.344*LN(O3)-0.004824*O3+0.000000434*O3^2-27.326)</f>
        <v>2.7248535609719372E-4</v>
      </c>
      <c r="R3" s="2">
        <v>2.5551458822297676E-4</v>
      </c>
      <c r="S3" s="2">
        <v>2.52E-4</v>
      </c>
      <c r="U3" s="2">
        <f>LN(P3)</f>
        <v>-8.2940496401020276</v>
      </c>
      <c r="V3" s="2">
        <f>LOG(P3)</f>
        <v>-3.6020599913279625</v>
      </c>
    </row>
    <row r="4" spans="1:22" ht="13.8" thickBot="1" x14ac:dyDescent="0.2">
      <c r="A4" s="1" t="s">
        <v>3</v>
      </c>
      <c r="B4" s="1" t="s">
        <v>2</v>
      </c>
      <c r="C4" s="5">
        <v>800</v>
      </c>
      <c r="D4" s="1"/>
      <c r="E4" s="1"/>
      <c r="F4" s="1"/>
      <c r="G4" s="1"/>
      <c r="O4" s="2">
        <v>800</v>
      </c>
      <c r="P4" s="2">
        <v>2.9000000000000001E-2</v>
      </c>
      <c r="Q4" s="2">
        <f t="shared" ref="Q4:Q11" si="0">EXP(-22666/O4+8.344*LN(O4)-0.004824*O4+0.000000434*O4^2-27.326)</f>
        <v>3.1318705368226708E-2</v>
      </c>
      <c r="R4" s="2">
        <v>2.9475730736981426E-2</v>
      </c>
      <c r="S4" s="2">
        <v>2.93E-2</v>
      </c>
      <c r="U4" s="2">
        <f t="shared" ref="U4:U11" si="1">LN(P4)</f>
        <v>-3.5404594489956631</v>
      </c>
      <c r="V4" s="2">
        <f t="shared" ref="V4:V11" si="2">LOG(P4)</f>
        <v>-1.5376020021010439</v>
      </c>
    </row>
    <row r="5" spans="1:22" ht="13.2" x14ac:dyDescent="0.15">
      <c r="A5" s="1" t="s">
        <v>53</v>
      </c>
      <c r="B5" s="1" t="s">
        <v>4</v>
      </c>
      <c r="C5" s="1">
        <f>D2*D5+F2*F5+E2*E5+G2*G5</f>
        <v>206.08</v>
      </c>
      <c r="D5" s="1">
        <v>-74.81</v>
      </c>
      <c r="E5" s="1">
        <v>-241.8</v>
      </c>
      <c r="F5" s="1">
        <v>-110.53</v>
      </c>
      <c r="G5" s="1">
        <v>0</v>
      </c>
      <c r="O5" s="2">
        <v>900</v>
      </c>
      <c r="P5" s="2">
        <v>1.19</v>
      </c>
      <c r="Q5" s="2">
        <f t="shared" si="0"/>
        <v>1.2952159794372873</v>
      </c>
      <c r="R5" s="2">
        <v>1.223750924184746</v>
      </c>
      <c r="S5" s="2">
        <v>1.23</v>
      </c>
      <c r="U5" s="2">
        <f t="shared" si="1"/>
        <v>0.17395330712343798</v>
      </c>
      <c r="V5" s="2">
        <f t="shared" si="2"/>
        <v>7.554696139253074E-2</v>
      </c>
    </row>
    <row r="6" spans="1:22" ht="13.2" x14ac:dyDescent="0.15">
      <c r="A6" s="1" t="s">
        <v>54</v>
      </c>
      <c r="B6" s="1" t="s">
        <v>5</v>
      </c>
      <c r="C6" s="1">
        <f>D2*D6+E2*E6+F2*F6+G2*G6</f>
        <v>214.63199999999998</v>
      </c>
      <c r="D6" s="1">
        <v>186.26</v>
      </c>
      <c r="E6" s="1">
        <v>188.83</v>
      </c>
      <c r="F6" s="1">
        <v>197.67</v>
      </c>
      <c r="G6" s="1">
        <v>130.684</v>
      </c>
      <c r="O6" s="2">
        <v>1000</v>
      </c>
      <c r="P6" s="2">
        <v>23.8</v>
      </c>
      <c r="Q6" s="2">
        <f t="shared" si="0"/>
        <v>25.953592720359872</v>
      </c>
      <c r="R6" s="2">
        <v>24.623953270220841</v>
      </c>
      <c r="S6" s="2">
        <v>24.7</v>
      </c>
      <c r="U6" s="2">
        <f t="shared" si="1"/>
        <v>3.1696855806774291</v>
      </c>
      <c r="V6" s="2">
        <f t="shared" si="2"/>
        <v>1.3765769570565121</v>
      </c>
    </row>
    <row r="7" spans="1:22" ht="13.2" x14ac:dyDescent="0.15">
      <c r="A7" s="1" t="s">
        <v>52</v>
      </c>
      <c r="B7" s="1" t="s">
        <v>6</v>
      </c>
      <c r="C7" s="4">
        <f>D7*D$2+E7*E$2+F7*F$2+G7*G$2</f>
        <v>63.36</v>
      </c>
      <c r="D7" s="1">
        <v>19.89</v>
      </c>
      <c r="E7" s="1">
        <v>32.24</v>
      </c>
      <c r="F7" s="1">
        <v>28.16</v>
      </c>
      <c r="G7" s="1">
        <v>29.11</v>
      </c>
      <c r="O7" s="2">
        <v>1100</v>
      </c>
      <c r="P7" s="2">
        <v>278</v>
      </c>
      <c r="Q7" s="2">
        <f t="shared" si="0"/>
        <v>305.16836559930238</v>
      </c>
      <c r="R7" s="2">
        <v>290.80112165235079</v>
      </c>
      <c r="S7" s="2">
        <v>292</v>
      </c>
      <c r="U7" s="2">
        <f t="shared" si="1"/>
        <v>5.6276211136906369</v>
      </c>
      <c r="V7" s="2">
        <f t="shared" si="2"/>
        <v>2.4440447959180762</v>
      </c>
    </row>
    <row r="8" spans="1:22" ht="13.2" x14ac:dyDescent="0.15">
      <c r="A8" s="1" t="s">
        <v>7</v>
      </c>
      <c r="B8" s="1" t="s">
        <v>8</v>
      </c>
      <c r="C8" s="4">
        <f>D8*D$2+E8*E$2+F8*F$2+G8*G$2</f>
        <v>-5.8360000000000009E-2</v>
      </c>
      <c r="D8" s="4">
        <v>5.0200000000000002E-2</v>
      </c>
      <c r="E8" s="4">
        <v>1.9199999999999998E-2</v>
      </c>
      <c r="F8" s="4">
        <v>1.6799999999999999E-2</v>
      </c>
      <c r="G8" s="4">
        <v>-1.92E-3</v>
      </c>
      <c r="O8" s="2">
        <v>1200</v>
      </c>
      <c r="P8" s="2">
        <v>2168</v>
      </c>
      <c r="Q8" s="2">
        <f t="shared" si="0"/>
        <v>2395.6929127331446</v>
      </c>
      <c r="R8" s="2">
        <v>2293.0840954849455</v>
      </c>
      <c r="S8" s="2">
        <v>2290</v>
      </c>
      <c r="U8" s="2">
        <f t="shared" si="1"/>
        <v>7.6815603625595372</v>
      </c>
      <c r="V8" s="2">
        <f t="shared" si="2"/>
        <v>3.3360592778663491</v>
      </c>
    </row>
    <row r="9" spans="1:22" ht="13.2" x14ac:dyDescent="0.15">
      <c r="A9" s="1"/>
      <c r="B9" s="1" t="s">
        <v>9</v>
      </c>
      <c r="C9" s="4">
        <f>D9*D$2+E9*E$2+F9*F$2+G9*G$2</f>
        <v>-5.9299999999999991E-6</v>
      </c>
      <c r="D9" s="4">
        <v>1.27E-5</v>
      </c>
      <c r="E9" s="4">
        <v>1.06E-5</v>
      </c>
      <c r="F9" s="4">
        <v>5.3700000000000003E-6</v>
      </c>
      <c r="G9" s="4">
        <v>3.9999999999999998E-6</v>
      </c>
      <c r="O9" s="2">
        <v>1300</v>
      </c>
      <c r="P9" s="2">
        <v>12332</v>
      </c>
      <c r="Q9" s="2">
        <f t="shared" si="0"/>
        <v>13743.934179248816</v>
      </c>
      <c r="R9" s="2">
        <v>13213.34782718156</v>
      </c>
      <c r="S9" s="2">
        <v>13400</v>
      </c>
      <c r="U9" s="2">
        <f t="shared" si="1"/>
        <v>9.4199527890060413</v>
      </c>
      <c r="V9" s="2">
        <f t="shared" si="2"/>
        <v>4.0910335160544706</v>
      </c>
    </row>
    <row r="10" spans="1:22" ht="13.2" x14ac:dyDescent="0.15">
      <c r="A10" s="1"/>
      <c r="B10" s="1" t="s">
        <v>10</v>
      </c>
      <c r="C10" s="4">
        <f>D10*D$2+E10*E$2+F10*F$2+G10*G$2</f>
        <v>9.6799999999999997E-9</v>
      </c>
      <c r="D10" s="4">
        <v>-1.0999999999999999E-8</v>
      </c>
      <c r="E10" s="4">
        <v>-3.5100000000000001E-9</v>
      </c>
      <c r="F10" s="4">
        <v>-2.2200000000000002E-9</v>
      </c>
      <c r="G10" s="4">
        <v>-8.6999999999999999E-10</v>
      </c>
      <c r="O10" s="2">
        <v>1400</v>
      </c>
      <c r="P10" s="2">
        <v>54673</v>
      </c>
      <c r="Q10" s="2">
        <f t="shared" si="0"/>
        <v>61505.03929503214</v>
      </c>
      <c r="R10" s="2">
        <v>59381.658214651863</v>
      </c>
      <c r="S10" s="2">
        <v>58900</v>
      </c>
      <c r="U10" s="2">
        <f t="shared" si="1"/>
        <v>10.909125265086246</v>
      </c>
      <c r="V10" s="2">
        <f t="shared" si="2"/>
        <v>4.7377729050183062</v>
      </c>
    </row>
    <row r="11" spans="1:22" ht="13.2" x14ac:dyDescent="0.15">
      <c r="A11" s="1"/>
      <c r="B11" s="1" t="s">
        <v>11</v>
      </c>
      <c r="C11" s="1">
        <f>C7*(C4-C3)+(C8/2)*(C4^2-C3^2)+(C9/3)*(C4^3-C3^3)+(C10/4)*(C4^4-C3^4)</f>
        <v>15735.224602846611</v>
      </c>
      <c r="D11" s="1"/>
      <c r="E11" s="1"/>
      <c r="F11" s="1"/>
      <c r="G11" s="1"/>
      <c r="O11" s="2">
        <v>1500</v>
      </c>
      <c r="P11" s="2">
        <v>198360</v>
      </c>
      <c r="Q11" s="2">
        <f t="shared" si="0"/>
        <v>225335.17585949428</v>
      </c>
      <c r="R11" s="2">
        <v>218417.42828358794</v>
      </c>
      <c r="S11" s="2">
        <v>216000</v>
      </c>
      <c r="U11" s="2">
        <f t="shared" si="1"/>
        <v>12.197838840603071</v>
      </c>
      <c r="V11" s="2">
        <f t="shared" si="2"/>
        <v>5.2974540996190722</v>
      </c>
    </row>
    <row r="12" spans="1:22" ht="13.2" x14ac:dyDescent="0.15">
      <c r="A12" s="1"/>
      <c r="B12" s="1" t="s">
        <v>12</v>
      </c>
      <c r="C12" s="1">
        <f>C7*LN(C4/C3)+C8*(C4-C3)+(C9/2)*(C4^2-C3^2)+(C10/3)*(C4^3-C3^3)</f>
        <v>33.204803763204112</v>
      </c>
      <c r="D12" s="1"/>
      <c r="E12" s="1"/>
      <c r="F12" s="1"/>
      <c r="G12" s="1"/>
      <c r="S12" s="6" t="s">
        <v>89</v>
      </c>
    </row>
    <row r="13" spans="1:22" ht="13.2" x14ac:dyDescent="0.15">
      <c r="A13" s="1" t="s">
        <v>55</v>
      </c>
      <c r="B13" s="1" t="s">
        <v>4</v>
      </c>
      <c r="C13" s="1">
        <f>C5+C11/1000</f>
        <v>221.81522460284663</v>
      </c>
      <c r="D13" s="1"/>
      <c r="E13" s="1"/>
      <c r="F13" s="1"/>
      <c r="G13" s="1"/>
    </row>
    <row r="14" spans="1:22" ht="13.2" x14ac:dyDescent="0.15">
      <c r="A14" s="1" t="s">
        <v>56</v>
      </c>
      <c r="B14" s="1" t="s">
        <v>5</v>
      </c>
      <c r="C14" s="1">
        <f>C6+C12</f>
        <v>247.8368037632041</v>
      </c>
      <c r="D14" s="1"/>
      <c r="E14" s="1"/>
      <c r="F14" s="1"/>
      <c r="G14" s="1"/>
      <c r="I14" s="3"/>
      <c r="J14" s="3"/>
      <c r="K14" s="3"/>
    </row>
    <row r="15" spans="1:22" ht="13.2" x14ac:dyDescent="0.15">
      <c r="A15" s="1" t="s">
        <v>57</v>
      </c>
      <c r="B15" s="1" t="s">
        <v>4</v>
      </c>
      <c r="C15" s="1">
        <f>C13-C4*C14/1000</f>
        <v>23.545781592283333</v>
      </c>
      <c r="D15" s="1"/>
      <c r="E15" s="1"/>
      <c r="F15" s="1"/>
      <c r="G15" s="1"/>
      <c r="I15" s="3"/>
      <c r="J15" s="3"/>
      <c r="K15" s="3"/>
    </row>
    <row r="16" spans="1:22" ht="13.2" x14ac:dyDescent="0.15">
      <c r="A16" s="1" t="s">
        <v>13</v>
      </c>
      <c r="B16" s="1" t="s">
        <v>5</v>
      </c>
      <c r="C16" s="1">
        <v>8.3145000000000007</v>
      </c>
      <c r="D16" s="1"/>
      <c r="E16" s="1"/>
      <c r="F16" s="1"/>
      <c r="G16" s="1"/>
      <c r="K16" s="3"/>
    </row>
    <row r="17" spans="1:11" ht="13.2" x14ac:dyDescent="0.15">
      <c r="A17" s="1" t="s">
        <v>22</v>
      </c>
      <c r="B17" s="1"/>
      <c r="C17" s="1">
        <f>-1*C15*1000/C16/C4</f>
        <v>-3.5398673390287048</v>
      </c>
      <c r="D17" s="1"/>
      <c r="E17" s="1"/>
      <c r="F17" s="1"/>
      <c r="G17" s="1"/>
      <c r="K17" s="3"/>
    </row>
    <row r="18" spans="1:11" ht="13.2" x14ac:dyDescent="0.15">
      <c r="A18" s="1" t="s">
        <v>58</v>
      </c>
      <c r="B18" s="1"/>
      <c r="C18" s="1">
        <f>EXP(C17)</f>
        <v>2.901717627366138E-2</v>
      </c>
      <c r="D18" s="1"/>
      <c r="E18" s="1"/>
      <c r="F18" s="1"/>
      <c r="G18" s="1"/>
    </row>
    <row r="19" spans="1:11" ht="13.2" x14ac:dyDescent="0.15">
      <c r="A19" s="1"/>
      <c r="B19" s="1"/>
      <c r="C19" s="1"/>
      <c r="D19" s="1"/>
      <c r="E19" s="1"/>
      <c r="F19" s="1"/>
      <c r="G19" s="1"/>
    </row>
    <row r="20" spans="1:11" ht="13.2" x14ac:dyDescent="0.15">
      <c r="A20" s="1" t="s">
        <v>15</v>
      </c>
      <c r="B20" s="1"/>
      <c r="C20" s="1"/>
      <c r="D20" s="1"/>
      <c r="E20" s="1"/>
      <c r="F20" s="1"/>
    </row>
    <row r="21" spans="1:11" ht="13.8" thickBot="1" x14ac:dyDescent="0.2">
      <c r="A21" s="1" t="s">
        <v>27</v>
      </c>
      <c r="B21" s="1" t="s">
        <v>28</v>
      </c>
      <c r="C21" s="1"/>
      <c r="D21" s="1">
        <v>1</v>
      </c>
      <c r="E21" s="1">
        <v>1</v>
      </c>
      <c r="F21" s="1">
        <v>0</v>
      </c>
      <c r="G21" s="2">
        <v>0</v>
      </c>
    </row>
    <row r="22" spans="1:11" ht="13.8" thickBot="1" x14ac:dyDescent="0.2">
      <c r="A22" s="1" t="s">
        <v>29</v>
      </c>
      <c r="B22" s="1"/>
      <c r="C22" s="5">
        <v>0.24805360178294275</v>
      </c>
      <c r="D22" s="1"/>
      <c r="E22" s="1"/>
      <c r="F22" s="1"/>
    </row>
    <row r="23" spans="1:11" ht="13.2" x14ac:dyDescent="0.15">
      <c r="A23" s="1" t="s">
        <v>65</v>
      </c>
      <c r="B23" s="1" t="s">
        <v>28</v>
      </c>
      <c r="C23" s="1">
        <f>SUM(D23:G23)</f>
        <v>2.4961072035658853</v>
      </c>
      <c r="D23" s="1">
        <f>D21*(1-$C$22)</f>
        <v>0.75194639821705722</v>
      </c>
      <c r="E23" s="1">
        <f>E21*(1-$C$22)</f>
        <v>0.75194639821705722</v>
      </c>
      <c r="F23" s="1">
        <f>F2*C22</f>
        <v>0.24805360178294275</v>
      </c>
      <c r="G23" s="1">
        <f>G2*C22</f>
        <v>0.74416080534882822</v>
      </c>
    </row>
    <row r="24" spans="1:11" ht="13.8" thickBot="1" x14ac:dyDescent="0.2">
      <c r="A24" s="1" t="s">
        <v>30</v>
      </c>
      <c r="B24" s="1"/>
      <c r="C24" s="1"/>
      <c r="D24" s="1">
        <f>D23/$C$23</f>
        <v>0.30124763757856343</v>
      </c>
      <c r="E24" s="1">
        <f>E23/$C$23</f>
        <v>0.30124763757856343</v>
      </c>
      <c r="F24" s="1">
        <f>F23/$C$23</f>
        <v>9.9376181210718312E-2</v>
      </c>
      <c r="G24" s="1">
        <f>G23/$C$23</f>
        <v>0.29812854363215491</v>
      </c>
    </row>
    <row r="25" spans="1:11" ht="13.8" thickBot="1" x14ac:dyDescent="0.2">
      <c r="A25" s="1" t="s">
        <v>62</v>
      </c>
      <c r="B25" s="1" t="s">
        <v>31</v>
      </c>
      <c r="C25" s="5">
        <v>0.1</v>
      </c>
      <c r="D25" s="1"/>
      <c r="E25" s="1"/>
      <c r="F25" s="1"/>
    </row>
    <row r="26" spans="1:11" ht="13.2" x14ac:dyDescent="0.15">
      <c r="A26" s="1" t="s">
        <v>32</v>
      </c>
      <c r="B26" s="1" t="s">
        <v>31</v>
      </c>
      <c r="C26" s="1"/>
      <c r="D26" s="1">
        <f>$C$25*D24</f>
        <v>3.0124763757856346E-2</v>
      </c>
      <c r="E26" s="1">
        <f>$C$25*E24</f>
        <v>3.0124763757856346E-2</v>
      </c>
      <c r="F26" s="1">
        <f>$C$25*F24</f>
        <v>9.9376181210718319E-3</v>
      </c>
      <c r="G26" s="1">
        <f>$C$25*G24</f>
        <v>2.9812854363215492E-2</v>
      </c>
    </row>
    <row r="27" spans="1:11" ht="13.2" x14ac:dyDescent="0.15">
      <c r="A27" s="1" t="s">
        <v>63</v>
      </c>
      <c r="B27" s="1" t="s">
        <v>31</v>
      </c>
      <c r="C27" s="1">
        <v>0.1</v>
      </c>
      <c r="D27" s="1"/>
      <c r="E27" s="1"/>
      <c r="F27" s="1"/>
    </row>
    <row r="28" spans="1:11" ht="13.2" x14ac:dyDescent="0.15">
      <c r="A28" s="1" t="s">
        <v>33</v>
      </c>
      <c r="B28" s="1"/>
      <c r="C28" s="1">
        <f>(F26/C27)^(F2)*(D26/C27)^D2*(E26/C27)^E2*(G26/C27)^G2/C18-1</f>
        <v>-2.1800912033631548E-5</v>
      </c>
      <c r="D28" s="1"/>
      <c r="E28" s="1"/>
      <c r="F28" s="1"/>
    </row>
    <row r="29" spans="1:11" ht="13.2" x14ac:dyDescent="0.15">
      <c r="A29" s="1"/>
      <c r="B29" s="1"/>
      <c r="C29" s="1"/>
      <c r="D29" s="1"/>
      <c r="E29" s="1"/>
      <c r="F29" s="1"/>
      <c r="G29" s="1"/>
      <c r="H29" s="1"/>
    </row>
    <row r="30" spans="1:11" ht="13.2" x14ac:dyDescent="0.15">
      <c r="A30" s="1"/>
      <c r="B30" s="1"/>
      <c r="C30" s="1"/>
      <c r="D30" s="1"/>
      <c r="E30" s="1"/>
      <c r="F30" s="1"/>
      <c r="G30" s="1"/>
      <c r="H30" s="1"/>
    </row>
    <row r="31" spans="1:11" ht="13.2" x14ac:dyDescent="0.15">
      <c r="A31" s="1"/>
      <c r="B31" s="1"/>
      <c r="C31" s="1"/>
      <c r="D31" s="1"/>
      <c r="E31" s="1"/>
      <c r="F31" s="1"/>
      <c r="G31" s="1"/>
      <c r="H31" s="1"/>
    </row>
    <row r="32" spans="1:11" ht="13.2" x14ac:dyDescent="0.15">
      <c r="A32" s="1"/>
      <c r="B32" s="1"/>
      <c r="C32" s="1"/>
      <c r="D32" s="1"/>
      <c r="E32" s="1"/>
      <c r="F32" s="1"/>
      <c r="G32" s="1"/>
      <c r="H32" s="1"/>
    </row>
    <row r="33" spans="1:8" ht="13.2" x14ac:dyDescent="0.15">
      <c r="A33" s="1"/>
      <c r="B33" s="1"/>
      <c r="C33" s="1"/>
      <c r="D33" s="1"/>
      <c r="E33" s="1"/>
      <c r="F33" s="1"/>
      <c r="G33" s="1"/>
      <c r="H33" s="1"/>
    </row>
    <row r="34" spans="1:8" ht="13.2" x14ac:dyDescent="0.15">
      <c r="A34" s="1"/>
      <c r="B34" s="1"/>
      <c r="C34" s="1"/>
      <c r="D34" s="1"/>
      <c r="E34" s="1"/>
      <c r="F34" s="1"/>
      <c r="G34" s="1"/>
      <c r="H34" s="1"/>
    </row>
    <row r="35" spans="1:8" ht="13.2" x14ac:dyDescent="0.15">
      <c r="A35" s="1"/>
      <c r="B35" s="1"/>
      <c r="C35" s="1"/>
      <c r="D35" s="1"/>
      <c r="E35" s="1"/>
      <c r="F35" s="1"/>
      <c r="G35" s="1"/>
      <c r="H35" s="1"/>
    </row>
    <row r="36" spans="1:8" ht="13.2" x14ac:dyDescent="0.15">
      <c r="A36" s="1"/>
      <c r="B36" s="1"/>
      <c r="C36" s="1"/>
      <c r="D36" s="1"/>
      <c r="E36" s="1"/>
      <c r="F36" s="1"/>
      <c r="G36" s="1"/>
      <c r="H36" s="1"/>
    </row>
    <row r="37" spans="1:8" ht="13.2" x14ac:dyDescent="0.15">
      <c r="A37" s="1"/>
      <c r="B37" s="1"/>
      <c r="C37" s="1"/>
      <c r="D37" s="1"/>
      <c r="E37" s="1"/>
      <c r="F37" s="1"/>
      <c r="G37" s="1"/>
      <c r="H37" s="1"/>
    </row>
    <row r="38" spans="1:8" ht="13.2" x14ac:dyDescent="0.15">
      <c r="A38" s="1"/>
      <c r="B38" s="1"/>
      <c r="C38" s="1"/>
      <c r="D38" s="1"/>
      <c r="E38" s="1"/>
      <c r="F38" s="1"/>
      <c r="G38" s="1"/>
      <c r="H38" s="1"/>
    </row>
    <row r="39" spans="1:8" ht="13.2" x14ac:dyDescent="0.15">
      <c r="A39" s="1"/>
      <c r="B39" s="1"/>
      <c r="C39" s="1"/>
      <c r="D39" s="1"/>
      <c r="E39" s="1"/>
      <c r="F39" s="1"/>
      <c r="G39" s="1"/>
      <c r="H39" s="1"/>
    </row>
    <row r="40" spans="1:8" ht="13.2" x14ac:dyDescent="0.15">
      <c r="A40" s="1"/>
      <c r="B40" s="1"/>
      <c r="C40" s="1"/>
      <c r="D40" s="1"/>
      <c r="E40" s="1"/>
      <c r="F40" s="1"/>
      <c r="G40" s="1"/>
      <c r="H40" s="1"/>
    </row>
    <row r="41" spans="1:8" ht="13.2" x14ac:dyDescent="0.15">
      <c r="A41" s="1" t="s">
        <v>39</v>
      </c>
      <c r="B41" s="1"/>
      <c r="C41" s="1"/>
      <c r="D41" s="1"/>
      <c r="E41" s="1"/>
      <c r="F41" s="1"/>
      <c r="G41" s="1"/>
      <c r="H41" s="1"/>
    </row>
    <row r="42" spans="1:8" ht="13.2" x14ac:dyDescent="0.15">
      <c r="A42" s="1" t="s">
        <v>40</v>
      </c>
      <c r="B42" s="1" t="s">
        <v>44</v>
      </c>
      <c r="C42" s="1" t="s">
        <v>45</v>
      </c>
      <c r="D42" s="1"/>
      <c r="E42" s="1"/>
      <c r="F42" s="1"/>
      <c r="G42" s="1"/>
      <c r="H42" s="1"/>
    </row>
    <row r="43" spans="1:8" ht="13.2" x14ac:dyDescent="0.15">
      <c r="A43" s="1">
        <v>500</v>
      </c>
      <c r="B43" s="1">
        <v>0.189</v>
      </c>
      <c r="C43" s="1">
        <v>6.0999999999999999E-2</v>
      </c>
      <c r="D43" s="1"/>
      <c r="E43" s="1"/>
      <c r="F43" s="1"/>
      <c r="G43" s="1"/>
      <c r="H43" s="1"/>
    </row>
    <row r="44" spans="1:8" ht="13.2" x14ac:dyDescent="0.15">
      <c r="A44" s="1">
        <v>600</v>
      </c>
      <c r="B44" s="1">
        <v>0.46</v>
      </c>
      <c r="C44" s="1">
        <v>0.16200000000000001</v>
      </c>
      <c r="D44" s="1"/>
      <c r="E44" s="1"/>
      <c r="F44" s="1"/>
      <c r="G44" s="1"/>
      <c r="H44" s="1"/>
    </row>
    <row r="45" spans="1:8" ht="13.2" x14ac:dyDescent="0.15">
      <c r="A45" s="1">
        <v>700</v>
      </c>
      <c r="B45" s="1">
        <v>0.753</v>
      </c>
      <c r="C45" s="1">
        <v>0.34</v>
      </c>
      <c r="D45" s="1"/>
      <c r="E45" s="1"/>
      <c r="F45" s="1"/>
      <c r="G45" s="1"/>
      <c r="H45" s="1"/>
    </row>
    <row r="46" spans="1:8" ht="13.2" x14ac:dyDescent="0.15">
      <c r="A46" s="1">
        <v>800</v>
      </c>
      <c r="B46" s="1">
        <v>0.90900000000000003</v>
      </c>
      <c r="C46" s="1">
        <v>0.56999999999999995</v>
      </c>
      <c r="D46" s="1"/>
      <c r="E46" s="1"/>
      <c r="F46" s="1"/>
      <c r="G46" s="1"/>
      <c r="H46" s="1"/>
    </row>
    <row r="47" spans="1:8" ht="13.2" x14ac:dyDescent="0.15">
      <c r="A47" s="1">
        <v>900</v>
      </c>
      <c r="B47" s="1">
        <v>0.96599999999999997</v>
      </c>
      <c r="C47" s="1">
        <v>0.76400000000000001</v>
      </c>
      <c r="D47" s="1"/>
      <c r="E47" s="1"/>
      <c r="F47" s="1"/>
      <c r="G47" s="1"/>
      <c r="H47" s="1"/>
    </row>
    <row r="48" spans="1:8" ht="13.2" x14ac:dyDescent="0.15">
      <c r="A48" s="1">
        <v>1000</v>
      </c>
      <c r="B48" s="1">
        <v>0.98599999999999999</v>
      </c>
      <c r="C48" s="1">
        <v>0.88</v>
      </c>
      <c r="D48" s="1"/>
      <c r="E48" s="1"/>
      <c r="F48" s="1"/>
      <c r="G48" s="1"/>
      <c r="H48" s="1"/>
    </row>
    <row r="49" spans="1:8" ht="13.2" x14ac:dyDescent="0.15">
      <c r="A49" s="1"/>
      <c r="B49" s="1"/>
      <c r="C49" s="1"/>
      <c r="D49" s="1"/>
      <c r="E49" s="1"/>
      <c r="F49" s="1"/>
      <c r="G49" s="1"/>
      <c r="H49" s="1"/>
    </row>
    <row r="50" spans="1:8" ht="13.2" x14ac:dyDescent="0.15">
      <c r="A50" s="1"/>
      <c r="B50" s="1"/>
      <c r="C50" s="1"/>
      <c r="D50" s="1"/>
      <c r="E50" s="1"/>
      <c r="F50" s="1"/>
      <c r="G50" s="1"/>
      <c r="H50" s="1"/>
    </row>
    <row r="51" spans="1:8" ht="13.2" x14ac:dyDescent="0.15">
      <c r="A51" s="1"/>
      <c r="B51" s="1"/>
      <c r="C51" s="1"/>
      <c r="D51" s="1"/>
      <c r="E51" s="1"/>
      <c r="F51" s="1"/>
      <c r="G51" s="1"/>
      <c r="H51" s="1"/>
    </row>
  </sheetData>
  <phoneticPr fontId="1"/>
  <hyperlinks>
    <hyperlink ref="S12" r:id="rId1"/>
  </hyperlinks>
  <pageMargins left="0.75" right="0.75" top="1" bottom="1" header="0.51200000000000001" footer="0.51200000000000001"/>
  <pageSetup paperSize="9" orientation="portrait" verticalDpi="0" r:id="rId2"/>
  <headerFooter alignWithMargins="0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I35" sqref="I35"/>
    </sheetView>
  </sheetViews>
  <sheetFormatPr defaultRowHeight="9.6" x14ac:dyDescent="0.15"/>
  <cols>
    <col min="1" max="1" width="33" customWidth="1"/>
    <col min="2" max="2" width="14.140625" customWidth="1"/>
    <col min="3" max="3" width="10.140625" customWidth="1"/>
    <col min="4" max="6" width="12.140625" customWidth="1"/>
  </cols>
  <sheetData>
    <row r="1" spans="1:7" ht="13.2" x14ac:dyDescent="0.15">
      <c r="A1" s="1" t="s">
        <v>14</v>
      </c>
      <c r="B1" s="1"/>
      <c r="C1" s="1" t="s">
        <v>23</v>
      </c>
      <c r="D1" s="1" t="s">
        <v>24</v>
      </c>
      <c r="E1" s="1" t="s">
        <v>25</v>
      </c>
      <c r="F1" s="1" t="s">
        <v>26</v>
      </c>
      <c r="G1" s="1"/>
    </row>
    <row r="2" spans="1:7" ht="13.2" x14ac:dyDescent="0.15">
      <c r="A2" s="1" t="s">
        <v>0</v>
      </c>
      <c r="B2" s="1"/>
      <c r="C2" s="1"/>
      <c r="D2" s="1">
        <v>1</v>
      </c>
      <c r="E2" s="1">
        <v>0.5</v>
      </c>
      <c r="F2" s="1">
        <v>-1</v>
      </c>
      <c r="G2" s="1"/>
    </row>
    <row r="3" spans="1:7" ht="13.8" thickBot="1" x14ac:dyDescent="0.2">
      <c r="A3" s="1" t="s">
        <v>1</v>
      </c>
      <c r="B3" s="1" t="s">
        <v>2</v>
      </c>
      <c r="C3" s="1">
        <v>298</v>
      </c>
      <c r="D3" s="1"/>
      <c r="E3" s="1"/>
      <c r="F3" s="1"/>
      <c r="G3" s="1"/>
    </row>
    <row r="4" spans="1:7" ht="13.8" thickBot="1" x14ac:dyDescent="0.2">
      <c r="A4" s="1" t="s">
        <v>3</v>
      </c>
      <c r="B4" s="1" t="s">
        <v>2</v>
      </c>
      <c r="C4" s="5">
        <v>2773</v>
      </c>
      <c r="D4" s="1"/>
      <c r="E4" s="1"/>
      <c r="F4" s="1"/>
      <c r="G4" s="1"/>
    </row>
    <row r="5" spans="1:7" ht="13.2" x14ac:dyDescent="0.15">
      <c r="A5" s="1" t="s">
        <v>53</v>
      </c>
      <c r="B5" s="1" t="s">
        <v>4</v>
      </c>
      <c r="C5" s="1">
        <f>F2*F5+E2*E5+D2*D5</f>
        <v>241.8</v>
      </c>
      <c r="D5" s="1">
        <v>0</v>
      </c>
      <c r="E5" s="1">
        <v>0</v>
      </c>
      <c r="F5" s="1">
        <v>-241.8</v>
      </c>
      <c r="G5" s="1"/>
    </row>
    <row r="6" spans="1:7" ht="13.2" x14ac:dyDescent="0.15">
      <c r="A6" s="1" t="s">
        <v>54</v>
      </c>
      <c r="B6" s="1" t="s">
        <v>5</v>
      </c>
      <c r="C6" s="1">
        <f>F2*F6+E2*E6+D2*D6</f>
        <v>44.422999999999988</v>
      </c>
      <c r="D6" s="1">
        <v>130.684</v>
      </c>
      <c r="E6" s="1">
        <v>205.13800000000001</v>
      </c>
      <c r="F6" s="1">
        <v>188.83</v>
      </c>
      <c r="G6" s="1"/>
    </row>
    <row r="7" spans="1:7" ht="13.2" x14ac:dyDescent="0.15">
      <c r="A7" s="1" t="s">
        <v>52</v>
      </c>
      <c r="B7" s="1" t="s">
        <v>6</v>
      </c>
      <c r="C7" s="1">
        <f>D7*D$2+E7*E$2+F7*F$2</f>
        <v>9.6084999999999994</v>
      </c>
      <c r="D7" s="1">
        <v>29.11</v>
      </c>
      <c r="E7" s="1">
        <v>25.477</v>
      </c>
      <c r="F7" s="1">
        <v>32.24</v>
      </c>
      <c r="G7" s="1"/>
    </row>
    <row r="8" spans="1:7" ht="13.2" x14ac:dyDescent="0.15">
      <c r="A8" s="1" t="s">
        <v>7</v>
      </c>
      <c r="B8" s="1" t="s">
        <v>8</v>
      </c>
      <c r="C8" s="1">
        <f>D8*D$2+E8*E$2+F8*F$2</f>
        <v>-1.3519999999999997E-2</v>
      </c>
      <c r="D8" s="4">
        <v>-1.92E-3</v>
      </c>
      <c r="E8" s="4">
        <v>1.52E-2</v>
      </c>
      <c r="F8" s="4">
        <v>1.9199999999999998E-2</v>
      </c>
      <c r="G8" s="1"/>
    </row>
    <row r="9" spans="1:7" ht="13.2" x14ac:dyDescent="0.15">
      <c r="A9" s="1"/>
      <c r="B9" s="1" t="s">
        <v>9</v>
      </c>
      <c r="C9" s="1">
        <f>D9*D$2+E9*E$2+F9*F$2</f>
        <v>-1.03E-5</v>
      </c>
      <c r="D9" s="4">
        <v>3.9999999999999998E-6</v>
      </c>
      <c r="E9" s="4">
        <v>-7.4000000000000003E-6</v>
      </c>
      <c r="F9" s="4">
        <v>1.06E-5</v>
      </c>
      <c r="G9" s="1"/>
    </row>
    <row r="10" spans="1:7" ht="13.2" x14ac:dyDescent="0.15">
      <c r="A10" s="1"/>
      <c r="B10" s="1" t="s">
        <v>10</v>
      </c>
      <c r="C10" s="1">
        <f>D10*D$2+E10*E$2+F10*F$2</f>
        <v>3.2949999999999999E-9</v>
      </c>
      <c r="D10" s="4">
        <v>-8.6999999999999999E-10</v>
      </c>
      <c r="E10" s="4">
        <v>1.31E-9</v>
      </c>
      <c r="F10" s="4">
        <v>-3.5100000000000001E-9</v>
      </c>
      <c r="G10" s="1"/>
    </row>
    <row r="11" spans="1:7" ht="13.2" x14ac:dyDescent="0.15">
      <c r="A11" s="1"/>
      <c r="B11" s="1" t="s">
        <v>11</v>
      </c>
      <c r="C11" s="1">
        <f>C7*(C4-C3)+(C8/2)*(C4^2-C3^2)+(C9/3)*(C4^3-C3^3)+(C10/4)*(C4^4-C3^4)</f>
        <v>-52017.292169688648</v>
      </c>
      <c r="D11" s="1"/>
      <c r="E11" s="1"/>
      <c r="F11" s="1"/>
      <c r="G11" s="1"/>
    </row>
    <row r="12" spans="1:7" ht="13.2" x14ac:dyDescent="0.15">
      <c r="A12" s="1"/>
      <c r="B12" s="1" t="s">
        <v>12</v>
      </c>
      <c r="C12" s="1">
        <f>C7*LN(C4/C3)+C8*(C4-C3)+(C9/2)*(C4^2-C3^2)+(C10/3)*(C4^3-C3^3)</f>
        <v>-27.782328730662972</v>
      </c>
      <c r="D12" s="1"/>
      <c r="E12" s="1"/>
      <c r="F12" s="1"/>
      <c r="G12" s="1"/>
    </row>
    <row r="13" spans="1:7" ht="13.2" x14ac:dyDescent="0.15">
      <c r="A13" s="1" t="s">
        <v>55</v>
      </c>
      <c r="B13" s="1" t="s">
        <v>4</v>
      </c>
      <c r="C13" s="1">
        <f>C5+C11/1000</f>
        <v>189.78270783031138</v>
      </c>
      <c r="D13" s="1"/>
      <c r="E13" s="1"/>
      <c r="F13" s="1"/>
      <c r="G13" s="1"/>
    </row>
    <row r="14" spans="1:7" ht="13.2" x14ac:dyDescent="0.15">
      <c r="A14" s="1" t="s">
        <v>56</v>
      </c>
      <c r="B14" s="1" t="s">
        <v>5</v>
      </c>
      <c r="C14" s="1">
        <f>C6+C12</f>
        <v>16.640671269337016</v>
      </c>
      <c r="D14" s="1"/>
      <c r="E14" s="1"/>
      <c r="F14" s="1"/>
      <c r="G14" s="1"/>
    </row>
    <row r="15" spans="1:7" ht="13.2" x14ac:dyDescent="0.15">
      <c r="A15" s="1" t="s">
        <v>57</v>
      </c>
      <c r="B15" s="1" t="s">
        <v>4</v>
      </c>
      <c r="C15" s="1">
        <f>C13-C4*C14/1000</f>
        <v>143.63812640043983</v>
      </c>
      <c r="D15" s="1"/>
      <c r="E15" s="1"/>
      <c r="F15" s="1"/>
      <c r="G15" s="1"/>
    </row>
    <row r="16" spans="1:7" ht="13.2" x14ac:dyDescent="0.15">
      <c r="A16" s="1" t="s">
        <v>13</v>
      </c>
      <c r="B16" s="1" t="s">
        <v>5</v>
      </c>
      <c r="C16" s="1">
        <v>8.3145000000000007</v>
      </c>
      <c r="D16" s="1"/>
      <c r="E16" s="1"/>
      <c r="F16" s="1"/>
      <c r="G16" s="1"/>
    </row>
    <row r="17" spans="1:7" ht="13.2" x14ac:dyDescent="0.15">
      <c r="A17" s="1" t="s">
        <v>22</v>
      </c>
      <c r="B17" s="1"/>
      <c r="C17" s="1">
        <f>-1*C15*1000/C16/C4</f>
        <v>-6.2299379967109276</v>
      </c>
      <c r="D17" s="1"/>
      <c r="E17" s="1"/>
      <c r="F17" s="1"/>
      <c r="G17" s="1"/>
    </row>
    <row r="18" spans="1:7" ht="13.2" x14ac:dyDescent="0.15">
      <c r="A18" s="1" t="s">
        <v>58</v>
      </c>
      <c r="B18" s="1"/>
      <c r="C18" s="1">
        <f>EXP(C17)</f>
        <v>1.9695740129207304E-3</v>
      </c>
      <c r="D18" s="1"/>
      <c r="E18" s="1"/>
      <c r="F18" s="1"/>
      <c r="G18" s="1"/>
    </row>
    <row r="20" spans="1:7" ht="13.2" x14ac:dyDescent="0.15">
      <c r="A20" s="1" t="s">
        <v>15</v>
      </c>
      <c r="B20" s="1"/>
      <c r="C20" s="1"/>
      <c r="D20" s="1"/>
      <c r="E20" s="1"/>
      <c r="F20" s="1"/>
      <c r="G20" s="2"/>
    </row>
    <row r="21" spans="1:7" ht="13.8" thickBot="1" x14ac:dyDescent="0.2">
      <c r="A21" s="1" t="s">
        <v>27</v>
      </c>
      <c r="B21" s="1" t="s">
        <v>28</v>
      </c>
      <c r="C21" s="1"/>
      <c r="D21" s="1">
        <v>0</v>
      </c>
      <c r="E21" s="1">
        <v>0</v>
      </c>
      <c r="F21" s="1">
        <v>1</v>
      </c>
      <c r="G21" s="2"/>
    </row>
    <row r="22" spans="1:7" ht="13.8" thickBot="1" x14ac:dyDescent="0.2">
      <c r="A22" s="1" t="s">
        <v>29</v>
      </c>
      <c r="B22" s="1"/>
      <c r="C22" s="5">
        <v>1.9598201401878193E-2</v>
      </c>
      <c r="D22" s="1"/>
      <c r="E22" s="1"/>
      <c r="F22" s="1"/>
      <c r="G22" s="2"/>
    </row>
    <row r="23" spans="1:7" ht="13.2" x14ac:dyDescent="0.15">
      <c r="A23" s="1" t="s">
        <v>65</v>
      </c>
      <c r="B23" s="1" t="s">
        <v>28</v>
      </c>
      <c r="C23" s="1">
        <f>SUM(D23:G23)</f>
        <v>1.009799100700939</v>
      </c>
      <c r="D23" s="1">
        <f>C22*D2</f>
        <v>1.9598201401878193E-2</v>
      </c>
      <c r="E23" s="1">
        <f>C22*E2</f>
        <v>9.7991007009390965E-3</v>
      </c>
      <c r="F23" s="1">
        <f>(F21+F2*C22)</f>
        <v>0.98040179859812182</v>
      </c>
      <c r="G23" s="1"/>
    </row>
    <row r="24" spans="1:7" ht="13.8" thickBot="1" x14ac:dyDescent="0.2">
      <c r="A24" s="1" t="s">
        <v>30</v>
      </c>
      <c r="B24" s="1"/>
      <c r="C24" s="1"/>
      <c r="D24" s="1">
        <f>D23/$C$23</f>
        <v>1.9408020256974239E-2</v>
      </c>
      <c r="E24" s="1">
        <f>E23/$C$23</f>
        <v>9.7040101284871193E-3</v>
      </c>
      <c r="F24" s="1">
        <f>F23/$C$23</f>
        <v>0.97088796961453872</v>
      </c>
      <c r="G24" s="1"/>
    </row>
    <row r="25" spans="1:7" ht="13.8" thickBot="1" x14ac:dyDescent="0.2">
      <c r="A25" s="1" t="s">
        <v>62</v>
      </c>
      <c r="B25" s="1" t="s">
        <v>31</v>
      </c>
      <c r="C25" s="5">
        <v>0.1</v>
      </c>
      <c r="D25" s="1"/>
      <c r="E25" s="1"/>
      <c r="F25" s="1"/>
      <c r="G25" s="2"/>
    </row>
    <row r="26" spans="1:7" ht="13.2" x14ac:dyDescent="0.15">
      <c r="A26" s="1" t="s">
        <v>32</v>
      </c>
      <c r="B26" s="1" t="s">
        <v>31</v>
      </c>
      <c r="C26" s="1"/>
      <c r="D26" s="1">
        <f>$C$25*D24</f>
        <v>1.9408020256974239E-3</v>
      </c>
      <c r="E26" s="1">
        <f>$C$25*E24</f>
        <v>9.7040101284871197E-4</v>
      </c>
      <c r="F26" s="1">
        <f>$C$25*F24</f>
        <v>9.708879696145388E-2</v>
      </c>
      <c r="G26" s="1"/>
    </row>
    <row r="27" spans="1:7" ht="13.2" x14ac:dyDescent="0.15">
      <c r="A27" s="1" t="s">
        <v>63</v>
      </c>
      <c r="B27" s="1" t="s">
        <v>31</v>
      </c>
      <c r="C27" s="1">
        <v>0.1</v>
      </c>
      <c r="D27" s="1"/>
      <c r="E27" s="1"/>
      <c r="F27" s="1"/>
      <c r="G27" s="2"/>
    </row>
    <row r="28" spans="1:7" ht="13.2" x14ac:dyDescent="0.15">
      <c r="A28" s="1" t="s">
        <v>33</v>
      </c>
      <c r="B28" s="1"/>
      <c r="C28" s="1">
        <f>(F26/C27)^(F2)*(D26/C27)^D2*(E26/C27)^E2/C18-1</f>
        <v>-1.9470552238953776E-4</v>
      </c>
      <c r="D28" s="1"/>
      <c r="E28" s="1"/>
      <c r="F28" s="1"/>
      <c r="G28" s="2"/>
    </row>
    <row r="33" spans="1:6" x14ac:dyDescent="0.15">
      <c r="B33" t="s">
        <v>76</v>
      </c>
    </row>
    <row r="34" spans="1:6" x14ac:dyDescent="0.15">
      <c r="A34" t="s">
        <v>66</v>
      </c>
      <c r="C34" t="s">
        <v>67</v>
      </c>
      <c r="D34" t="s">
        <v>68</v>
      </c>
      <c r="E34" t="s">
        <v>69</v>
      </c>
      <c r="F34" t="s">
        <v>70</v>
      </c>
    </row>
    <row r="35" spans="1:6" x14ac:dyDescent="0.15">
      <c r="C35" t="s">
        <v>71</v>
      </c>
      <c r="D35" t="s">
        <v>72</v>
      </c>
      <c r="E35" t="s">
        <v>73</v>
      </c>
      <c r="F35" t="s">
        <v>74</v>
      </c>
    </row>
    <row r="36" spans="1:6" x14ac:dyDescent="0.15">
      <c r="B36" t="s">
        <v>75</v>
      </c>
      <c r="C36">
        <v>1.1E-5</v>
      </c>
      <c r="D36">
        <v>6.4000000000000005E-4</v>
      </c>
      <c r="E36">
        <v>5.4999999999999997E-3</v>
      </c>
      <c r="F36">
        <v>1.9599999999999999E-2</v>
      </c>
    </row>
    <row r="37" spans="1:6" x14ac:dyDescent="0.15">
      <c r="B37" t="s">
        <v>77</v>
      </c>
      <c r="C37">
        <v>2.3E-5</v>
      </c>
      <c r="D37">
        <v>1.3799999999999999E-3</v>
      </c>
      <c r="E37">
        <v>1.191E-2</v>
      </c>
      <c r="F37">
        <v>4.1700000000000001E-2</v>
      </c>
    </row>
    <row r="38" spans="1:6" x14ac:dyDescent="0.15">
      <c r="C38">
        <v>1000</v>
      </c>
      <c r="D38">
        <v>1500</v>
      </c>
      <c r="E38">
        <v>2000</v>
      </c>
      <c r="F38">
        <v>2500</v>
      </c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H13" sqref="H13"/>
    </sheetView>
  </sheetViews>
  <sheetFormatPr defaultRowHeight="9.6" x14ac:dyDescent="0.15"/>
  <cols>
    <col min="1" max="1" width="33" customWidth="1"/>
    <col min="2" max="2" width="14.140625" customWidth="1"/>
    <col min="3" max="3" width="10.140625" customWidth="1"/>
    <col min="4" max="4" width="16.140625" customWidth="1"/>
    <col min="5" max="5" width="13.140625" customWidth="1"/>
    <col min="6" max="6" width="12.140625" customWidth="1"/>
  </cols>
  <sheetData>
    <row r="1" spans="1:16" ht="13.2" x14ac:dyDescent="0.15">
      <c r="A1" s="1" t="s">
        <v>14</v>
      </c>
      <c r="B1" s="1"/>
      <c r="C1" s="1" t="s">
        <v>93</v>
      </c>
      <c r="D1" s="1" t="s">
        <v>94</v>
      </c>
      <c r="E1" s="1" t="s">
        <v>95</v>
      </c>
      <c r="F1" s="1" t="s">
        <v>96</v>
      </c>
      <c r="G1" s="1" t="s">
        <v>97</v>
      </c>
      <c r="N1" t="s">
        <v>127</v>
      </c>
    </row>
    <row r="2" spans="1:16" ht="13.2" x14ac:dyDescent="0.15">
      <c r="A2" s="1" t="s">
        <v>0</v>
      </c>
      <c r="B2" s="1"/>
      <c r="C2" s="1"/>
      <c r="D2" s="1">
        <v>-1</v>
      </c>
      <c r="E2" s="1">
        <v>1</v>
      </c>
      <c r="F2" s="1">
        <v>1</v>
      </c>
      <c r="G2" s="1"/>
    </row>
    <row r="3" spans="1:16" ht="13.8" thickBot="1" x14ac:dyDescent="0.2">
      <c r="A3" s="1" t="s">
        <v>79</v>
      </c>
      <c r="B3" s="1" t="s">
        <v>2</v>
      </c>
      <c r="C3" s="1">
        <v>298</v>
      </c>
      <c r="D3" s="1"/>
      <c r="E3" s="1"/>
      <c r="F3" s="1"/>
      <c r="G3" s="1"/>
      <c r="N3" t="s">
        <v>128</v>
      </c>
      <c r="O3" t="s">
        <v>129</v>
      </c>
      <c r="P3" t="s">
        <v>130</v>
      </c>
    </row>
    <row r="4" spans="1:16" ht="13.8" thickBot="1" x14ac:dyDescent="0.2">
      <c r="A4" s="1" t="s">
        <v>98</v>
      </c>
      <c r="B4" s="1" t="s">
        <v>99</v>
      </c>
      <c r="C4" s="5">
        <v>850</v>
      </c>
      <c r="D4" s="1"/>
      <c r="E4" s="1"/>
      <c r="F4" s="1"/>
      <c r="G4" s="1"/>
      <c r="N4">
        <v>400</v>
      </c>
      <c r="O4" s="11">
        <v>2.8000000000000002E-10</v>
      </c>
      <c r="P4">
        <f t="shared" ref="P4:P9" si="0">LN(O4)</f>
        <v>-21.996231512759298</v>
      </c>
    </row>
    <row r="5" spans="1:16" ht="13.2" x14ac:dyDescent="0.15">
      <c r="A5" s="1" t="s">
        <v>100</v>
      </c>
      <c r="B5" s="1" t="s">
        <v>101</v>
      </c>
      <c r="C5" s="1">
        <f>F2*F5+E2*E5+D2*D5</f>
        <v>124.35</v>
      </c>
      <c r="D5" s="1">
        <v>-103.92</v>
      </c>
      <c r="E5" s="1">
        <v>20.43</v>
      </c>
      <c r="F5" s="1">
        <v>0</v>
      </c>
      <c r="G5" s="1"/>
      <c r="N5">
        <v>600</v>
      </c>
      <c r="O5" s="11">
        <v>9.6000000000000002E-5</v>
      </c>
      <c r="P5">
        <f t="shared" si="0"/>
        <v>-9.2511623664964375</v>
      </c>
    </row>
    <row r="6" spans="1:16" ht="13.2" x14ac:dyDescent="0.15">
      <c r="A6" s="1" t="s">
        <v>54</v>
      </c>
      <c r="B6" s="1" t="s">
        <v>102</v>
      </c>
      <c r="C6" s="1">
        <f>F2*F6+E2*E6+D2*D6</f>
        <v>127.30000000000001</v>
      </c>
      <c r="D6" s="1">
        <v>269.8</v>
      </c>
      <c r="E6" s="1">
        <v>267.10000000000002</v>
      </c>
      <c r="F6" s="1">
        <v>130</v>
      </c>
      <c r="G6" s="1"/>
      <c r="N6">
        <v>800</v>
      </c>
      <c r="O6">
        <v>6.0499999999999998E-2</v>
      </c>
      <c r="P6">
        <f t="shared" si="0"/>
        <v>-2.8051119139453413</v>
      </c>
    </row>
    <row r="7" spans="1:16" ht="13.2" x14ac:dyDescent="0.15">
      <c r="A7" s="1" t="s">
        <v>103</v>
      </c>
      <c r="B7" s="1" t="s">
        <v>104</v>
      </c>
      <c r="C7" s="1">
        <f>D7*D$2+E7*E$2+F7*F$2</f>
        <v>35.078686000000005</v>
      </c>
      <c r="D7" s="1">
        <v>-4.2246829999999997</v>
      </c>
      <c r="E7" s="1">
        <v>3.7096820000000004</v>
      </c>
      <c r="F7" s="1">
        <v>27.144321000000001</v>
      </c>
      <c r="G7" s="1"/>
      <c r="N7">
        <v>1000</v>
      </c>
      <c r="O7">
        <v>2.95</v>
      </c>
      <c r="P7">
        <f t="shared" si="0"/>
        <v>1.0818051703517284</v>
      </c>
    </row>
    <row r="8" spans="1:16" ht="13.2" x14ac:dyDescent="0.15">
      <c r="A8" s="1" t="s">
        <v>7</v>
      </c>
      <c r="B8" s="1" t="s">
        <v>105</v>
      </c>
      <c r="C8" s="1">
        <f>D8*D$2+E8*E$2+F8*F$2</f>
        <v>-6.2449105000000012E-2</v>
      </c>
      <c r="D8" s="4">
        <v>0.30627905000000005</v>
      </c>
      <c r="E8" s="4">
        <v>0.23455574000000004</v>
      </c>
      <c r="F8" s="4">
        <v>9.2742050000000006E-3</v>
      </c>
      <c r="G8" s="1"/>
      <c r="N8">
        <v>1200</v>
      </c>
      <c r="O8">
        <v>39.24</v>
      </c>
      <c r="P8">
        <f t="shared" si="0"/>
        <v>3.6696966346971625</v>
      </c>
    </row>
    <row r="9" spans="1:16" ht="13.2" x14ac:dyDescent="0.15">
      <c r="A9" s="1"/>
      <c r="B9" s="1" t="s">
        <v>106</v>
      </c>
      <c r="C9" s="1">
        <f>D9*D$2+E9*E$2+F9*F$2</f>
        <v>2.8814934000000021E-5</v>
      </c>
      <c r="D9" s="4">
        <v>-1.5864543000000003E-4</v>
      </c>
      <c r="E9" s="4">
        <v>-1.1602177000000001E-4</v>
      </c>
      <c r="F9" s="4">
        <v>-1.3808726000000002E-5</v>
      </c>
      <c r="G9" s="1"/>
      <c r="N9">
        <v>1300</v>
      </c>
      <c r="O9">
        <v>105.4</v>
      </c>
      <c r="P9">
        <f t="shared" si="0"/>
        <v>4.6577626361072619</v>
      </c>
    </row>
    <row r="10" spans="1:16" ht="13.2" x14ac:dyDescent="0.15">
      <c r="A10" s="1"/>
      <c r="B10" s="1" t="s">
        <v>10</v>
      </c>
      <c r="C10" s="1">
        <f>D10*D$2+E10*E$2+F10*F$2</f>
        <v>-2.4535820000000024E-9</v>
      </c>
      <c r="D10" s="4">
        <v>3.2147786000000009E-8</v>
      </c>
      <c r="E10" s="4">
        <v>2.2048742000000005E-8</v>
      </c>
      <c r="F10" s="4">
        <v>7.6454620000000017E-9</v>
      </c>
      <c r="G10" s="1"/>
    </row>
    <row r="11" spans="1:16" ht="13.2" x14ac:dyDescent="0.15">
      <c r="A11" s="1"/>
      <c r="B11" s="1" t="s">
        <v>107</v>
      </c>
      <c r="C11" s="1">
        <f>C7*(C4-C3)+(C8/2)*(C4^2-C3^2)+(C9/3)*(C4^3-C3^3)+(C10/4)*(C4^4-C3^4)</f>
        <v>4905.6765907046502</v>
      </c>
      <c r="D11" s="1"/>
      <c r="E11" s="1"/>
      <c r="F11" s="1"/>
      <c r="G11" s="1"/>
    </row>
    <row r="12" spans="1:16" ht="13.2" x14ac:dyDescent="0.15">
      <c r="A12" s="1"/>
      <c r="B12" s="1" t="s">
        <v>108</v>
      </c>
      <c r="C12" s="1">
        <f>C7*LN(C4/C3)+C8*(C4-C3)+(C9/2)*(C4^2-C3^2)+(C10/3)*(C4^3-C3^3)</f>
        <v>10.944897470690734</v>
      </c>
      <c r="D12" s="1"/>
      <c r="E12" s="1"/>
      <c r="F12" s="1"/>
      <c r="G12" s="1"/>
    </row>
    <row r="13" spans="1:16" ht="13.2" x14ac:dyDescent="0.15">
      <c r="A13" s="1" t="s">
        <v>55</v>
      </c>
      <c r="B13" s="1" t="s">
        <v>109</v>
      </c>
      <c r="C13" s="1">
        <f>C5+C11/1000</f>
        <v>129.25567659070464</v>
      </c>
      <c r="D13" s="1"/>
      <c r="E13" s="1"/>
      <c r="F13" s="1"/>
      <c r="G13" s="1"/>
    </row>
    <row r="14" spans="1:16" ht="13.2" x14ac:dyDescent="0.15">
      <c r="A14" s="1" t="s">
        <v>56</v>
      </c>
      <c r="B14" s="1" t="s">
        <v>5</v>
      </c>
      <c r="C14" s="1">
        <f>C6+C12</f>
        <v>138.24489747069074</v>
      </c>
      <c r="D14" s="1"/>
      <c r="E14" s="1"/>
      <c r="F14" s="1"/>
      <c r="G14" s="1"/>
    </row>
    <row r="15" spans="1:16" ht="13.2" x14ac:dyDescent="0.15">
      <c r="A15" s="1" t="s">
        <v>110</v>
      </c>
      <c r="B15" s="1" t="s">
        <v>101</v>
      </c>
      <c r="C15" s="1">
        <f>C13-C4*C14/1000</f>
        <v>11.747513740617507</v>
      </c>
      <c r="D15" s="1"/>
      <c r="E15" s="1"/>
      <c r="F15" s="1"/>
      <c r="G15" s="1"/>
    </row>
    <row r="16" spans="1:16" ht="13.2" x14ac:dyDescent="0.15">
      <c r="A16" s="1" t="s">
        <v>111</v>
      </c>
      <c r="B16" s="1" t="s">
        <v>102</v>
      </c>
      <c r="C16" s="1">
        <v>8.3145000000000007</v>
      </c>
      <c r="D16" s="1"/>
      <c r="E16" s="1"/>
      <c r="F16" s="1"/>
      <c r="G16" s="1"/>
    </row>
    <row r="17" spans="1:8" ht="13.2" x14ac:dyDescent="0.15">
      <c r="A17" s="1" t="s">
        <v>112</v>
      </c>
      <c r="B17" s="1"/>
      <c r="C17" s="1">
        <f>-1*C15*1000/C16/C4</f>
        <v>-1.6622291660023427</v>
      </c>
      <c r="D17" s="1"/>
      <c r="E17" s="1"/>
      <c r="F17" s="1"/>
      <c r="G17" s="1"/>
      <c r="H17" t="s">
        <v>124</v>
      </c>
    </row>
    <row r="18" spans="1:8" ht="13.2" x14ac:dyDescent="0.15">
      <c r="A18" s="1" t="s">
        <v>113</v>
      </c>
      <c r="B18" s="1"/>
      <c r="C18" s="1">
        <f>EXP(C17)</f>
        <v>0.18971560081803121</v>
      </c>
      <c r="D18" s="1"/>
      <c r="E18" s="1"/>
      <c r="F18" s="1"/>
      <c r="G18" s="10" t="s">
        <v>125</v>
      </c>
      <c r="H18">
        <v>0.20469999999999999</v>
      </c>
    </row>
    <row r="20" spans="1:8" ht="13.2" x14ac:dyDescent="0.15">
      <c r="A20" s="1" t="s">
        <v>15</v>
      </c>
      <c r="B20" s="1"/>
      <c r="C20" s="1"/>
      <c r="D20" s="1"/>
      <c r="E20" s="1"/>
      <c r="F20" s="1"/>
      <c r="G20" s="2"/>
    </row>
    <row r="21" spans="1:8" ht="13.8" thickBot="1" x14ac:dyDescent="0.2">
      <c r="A21" s="1" t="s">
        <v>27</v>
      </c>
      <c r="B21" s="1" t="s">
        <v>28</v>
      </c>
      <c r="C21" s="1"/>
      <c r="D21" s="1">
        <v>1</v>
      </c>
      <c r="E21" s="1">
        <v>0</v>
      </c>
      <c r="F21" s="1">
        <v>0</v>
      </c>
      <c r="G21" s="2"/>
      <c r="H21" t="s">
        <v>124</v>
      </c>
    </row>
    <row r="22" spans="1:8" ht="13.8" thickBot="1" x14ac:dyDescent="0.2">
      <c r="A22" s="1" t="s">
        <v>29</v>
      </c>
      <c r="B22" s="1"/>
      <c r="C22" s="5">
        <v>0.39948077151036959</v>
      </c>
      <c r="D22" s="1"/>
      <c r="E22" s="1"/>
      <c r="F22" s="1"/>
      <c r="G22" s="9" t="s">
        <v>126</v>
      </c>
      <c r="H22">
        <v>0.41220000000000001</v>
      </c>
    </row>
    <row r="23" spans="1:8" ht="13.2" x14ac:dyDescent="0.15">
      <c r="A23" s="1" t="s">
        <v>65</v>
      </c>
      <c r="B23" s="1" t="s">
        <v>28</v>
      </c>
      <c r="C23" s="1">
        <f>SUM(D23:G23)</f>
        <v>1.3994807715103696</v>
      </c>
      <c r="D23" s="1">
        <f>D21*(1-C22)</f>
        <v>0.60051922848963035</v>
      </c>
      <c r="E23" s="1">
        <f>C22*D21</f>
        <v>0.39948077151036959</v>
      </c>
      <c r="F23" s="1">
        <f>C22*D21</f>
        <v>0.39948077151036959</v>
      </c>
      <c r="G23" s="1"/>
    </row>
    <row r="24" spans="1:8" ht="13.8" thickBot="1" x14ac:dyDescent="0.2">
      <c r="A24" s="1" t="s">
        <v>30</v>
      </c>
      <c r="B24" s="1"/>
      <c r="C24" s="1"/>
      <c r="D24" s="1">
        <f>D23/$C$23</f>
        <v>0.42910145013391543</v>
      </c>
      <c r="E24" s="1">
        <f>E23/$C$23</f>
        <v>0.28544927493304223</v>
      </c>
      <c r="F24" s="1">
        <f>F23/$C$23</f>
        <v>0.28544927493304223</v>
      </c>
      <c r="G24" s="1"/>
    </row>
    <row r="25" spans="1:8" ht="13.8" thickBot="1" x14ac:dyDescent="0.2">
      <c r="A25" s="1" t="s">
        <v>62</v>
      </c>
      <c r="B25" s="1" t="s">
        <v>114</v>
      </c>
      <c r="C25" s="5">
        <v>0.1</v>
      </c>
      <c r="D25" s="1"/>
      <c r="E25" s="1"/>
      <c r="F25" s="1"/>
      <c r="G25" s="2"/>
    </row>
    <row r="26" spans="1:8" ht="13.2" x14ac:dyDescent="0.15">
      <c r="A26" s="1" t="s">
        <v>32</v>
      </c>
      <c r="B26" s="1" t="s">
        <v>114</v>
      </c>
      <c r="C26" s="1"/>
      <c r="D26" s="1">
        <f>$C$25*D24</f>
        <v>4.2910145013391549E-2</v>
      </c>
      <c r="E26" s="1">
        <f>$C$25*E24</f>
        <v>2.8544927493304225E-2</v>
      </c>
      <c r="F26" s="1">
        <f>$C$25*F24</f>
        <v>2.8544927493304225E-2</v>
      </c>
      <c r="G26" s="1"/>
    </row>
    <row r="27" spans="1:8" ht="13.2" x14ac:dyDescent="0.15">
      <c r="A27" s="1" t="s">
        <v>63</v>
      </c>
      <c r="B27" s="1" t="s">
        <v>115</v>
      </c>
      <c r="C27" s="1">
        <v>0.1</v>
      </c>
      <c r="D27" s="1"/>
      <c r="E27" s="1"/>
      <c r="F27" s="1"/>
      <c r="G27" s="2"/>
    </row>
    <row r="28" spans="1:8" ht="13.2" x14ac:dyDescent="0.15">
      <c r="A28" s="1" t="s">
        <v>33</v>
      </c>
      <c r="B28" s="1"/>
      <c r="C28" s="1">
        <f>(F26/C27)^(F2)*(D26/C27)^D2*(E26/C27)^E2/C18-1</f>
        <v>9.0961364467334604E-4</v>
      </c>
      <c r="D28" s="1"/>
      <c r="E28" s="1"/>
      <c r="F28" s="1"/>
      <c r="G28" s="2"/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平衡定数アンモニア</vt:lpstr>
      <vt:lpstr>平衡定数メタン改質</vt:lpstr>
      <vt:lpstr>平衡定数水分解</vt:lpstr>
      <vt:lpstr>平衡定数プロパン分解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itolab04</cp:lastModifiedBy>
  <cp:lastPrinted>2017-02-17T00:36:41Z</cp:lastPrinted>
  <dcterms:created xsi:type="dcterms:W3CDTF">2004-01-25T12:50:10Z</dcterms:created>
  <dcterms:modified xsi:type="dcterms:W3CDTF">2017-08-28T08:22:35Z</dcterms:modified>
</cp:coreProperties>
</file>