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小松\Desktop\"/>
    </mc:Choice>
  </mc:AlternateContent>
  <bookViews>
    <workbookView xWindow="0" yWindow="0" windowWidth="21570" windowHeight="8160"/>
  </bookViews>
  <sheets>
    <sheet name="総資本利率" sheetId="1" r:id="rId1"/>
    <sheet name="自己資本利率" sheetId="2" r:id="rId2"/>
    <sheet name="数式モデル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3" l="1"/>
  <c r="G29" i="3"/>
  <c r="F29" i="3"/>
  <c r="E29" i="3"/>
  <c r="F28" i="3"/>
  <c r="E28" i="3"/>
  <c r="G24" i="3"/>
  <c r="H24" i="3" s="1"/>
  <c r="I24" i="3" s="1"/>
  <c r="L24" i="3" s="1"/>
  <c r="D24" i="3"/>
  <c r="D23" i="3"/>
  <c r="G22" i="3"/>
  <c r="H22" i="3" s="1"/>
  <c r="I22" i="3" s="1"/>
  <c r="L22" i="3" s="1"/>
  <c r="D22" i="3"/>
  <c r="D21" i="3"/>
  <c r="G20" i="3"/>
  <c r="H20" i="3" s="1"/>
  <c r="I20" i="3" s="1"/>
  <c r="L20" i="3" s="1"/>
  <c r="D20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C10" i="3"/>
  <c r="L10" i="3" s="1"/>
  <c r="F9" i="3"/>
  <c r="C9" i="3"/>
  <c r="L9" i="3" s="1"/>
  <c r="F8" i="3"/>
  <c r="C8" i="3"/>
  <c r="C7" i="3"/>
  <c r="O7" i="3" s="1"/>
  <c r="F6" i="3"/>
  <c r="C6" i="3"/>
  <c r="L6" i="3" s="1"/>
  <c r="L3" i="3"/>
  <c r="O9" i="3" s="1"/>
  <c r="P22" i="3" l="1"/>
  <c r="N22" i="3"/>
  <c r="O22" i="3"/>
  <c r="M22" i="3"/>
  <c r="P6" i="3"/>
  <c r="N6" i="3"/>
  <c r="M6" i="3"/>
  <c r="P20" i="3"/>
  <c r="N20" i="3"/>
  <c r="O20" i="3"/>
  <c r="M20" i="3"/>
  <c r="P24" i="3"/>
  <c r="N24" i="3"/>
  <c r="O24" i="3"/>
  <c r="M24" i="3"/>
  <c r="O6" i="3"/>
  <c r="L7" i="3"/>
  <c r="P9" i="3"/>
  <c r="N9" i="3"/>
  <c r="M9" i="3"/>
  <c r="P10" i="3"/>
  <c r="N10" i="3"/>
  <c r="M10" i="3"/>
  <c r="G19" i="3"/>
  <c r="H19" i="3" s="1"/>
  <c r="I19" i="3" s="1"/>
  <c r="L19" i="3" s="1"/>
  <c r="G21" i="3"/>
  <c r="H21" i="3" s="1"/>
  <c r="I21" i="3" s="1"/>
  <c r="L21" i="3" s="1"/>
  <c r="G23" i="3"/>
  <c r="H23" i="3" s="1"/>
  <c r="I23" i="3" s="1"/>
  <c r="L23" i="3" s="1"/>
  <c r="C25" i="3"/>
  <c r="D25" i="3" s="1"/>
  <c r="F7" i="3"/>
  <c r="F10" i="3" s="1"/>
  <c r="O8" i="3"/>
  <c r="L8" i="3"/>
  <c r="O10" i="3"/>
  <c r="H29" i="2"/>
  <c r="G29" i="2"/>
  <c r="F29" i="2"/>
  <c r="E29" i="2"/>
  <c r="F28" i="2"/>
  <c r="E28" i="2"/>
  <c r="G24" i="2"/>
  <c r="H24" i="2" s="1"/>
  <c r="I24" i="2" s="1"/>
  <c r="L24" i="2" s="1"/>
  <c r="D24" i="2"/>
  <c r="D23" i="2"/>
  <c r="G22" i="2"/>
  <c r="H22" i="2" s="1"/>
  <c r="I22" i="2" s="1"/>
  <c r="L22" i="2" s="1"/>
  <c r="D22" i="2"/>
  <c r="D21" i="2"/>
  <c r="G20" i="2"/>
  <c r="H20" i="2" s="1"/>
  <c r="I20" i="2" s="1"/>
  <c r="L20" i="2" s="1"/>
  <c r="D20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C10" i="2"/>
  <c r="L10" i="2" s="1"/>
  <c r="F9" i="2"/>
  <c r="C9" i="2"/>
  <c r="L9" i="2" s="1"/>
  <c r="F8" i="2"/>
  <c r="C8" i="2"/>
  <c r="C7" i="2"/>
  <c r="F6" i="2"/>
  <c r="C6" i="2"/>
  <c r="L6" i="2" s="1"/>
  <c r="L3" i="2"/>
  <c r="O9" i="2" s="1"/>
  <c r="F26" i="3" l="1"/>
  <c r="J10" i="3"/>
  <c r="O23" i="3"/>
  <c r="M23" i="3"/>
  <c r="N23" i="3"/>
  <c r="P23" i="3"/>
  <c r="O19" i="3"/>
  <c r="M19" i="3"/>
  <c r="N19" i="3"/>
  <c r="P19" i="3"/>
  <c r="O21" i="3"/>
  <c r="M21" i="3"/>
  <c r="N21" i="3"/>
  <c r="P21" i="3"/>
  <c r="M8" i="3"/>
  <c r="P8" i="3"/>
  <c r="N8" i="3"/>
  <c r="F11" i="3"/>
  <c r="G25" i="3"/>
  <c r="H25" i="3" s="1"/>
  <c r="I25" i="3"/>
  <c r="L25" i="3" s="1"/>
  <c r="M7" i="3"/>
  <c r="P7" i="3"/>
  <c r="N7" i="3"/>
  <c r="O7" i="2"/>
  <c r="P22" i="2"/>
  <c r="N22" i="2"/>
  <c r="O22" i="2"/>
  <c r="M22" i="2"/>
  <c r="P6" i="2"/>
  <c r="N6" i="2"/>
  <c r="M6" i="2"/>
  <c r="P20" i="2"/>
  <c r="N20" i="2"/>
  <c r="O20" i="2"/>
  <c r="M20" i="2"/>
  <c r="P24" i="2"/>
  <c r="N24" i="2"/>
  <c r="O24" i="2"/>
  <c r="M24" i="2"/>
  <c r="O6" i="2"/>
  <c r="L7" i="2"/>
  <c r="P9" i="2"/>
  <c r="N9" i="2"/>
  <c r="M9" i="2"/>
  <c r="P10" i="2"/>
  <c r="N10" i="2"/>
  <c r="M10" i="2"/>
  <c r="G19" i="2"/>
  <c r="H19" i="2" s="1"/>
  <c r="I19" i="2" s="1"/>
  <c r="L19" i="2" s="1"/>
  <c r="G21" i="2"/>
  <c r="H21" i="2" s="1"/>
  <c r="I21" i="2" s="1"/>
  <c r="L21" i="2" s="1"/>
  <c r="G23" i="2"/>
  <c r="H23" i="2" s="1"/>
  <c r="I23" i="2" s="1"/>
  <c r="L23" i="2" s="1"/>
  <c r="C25" i="2"/>
  <c r="D25" i="2" s="1"/>
  <c r="F7" i="2"/>
  <c r="F10" i="2" s="1"/>
  <c r="O8" i="2"/>
  <c r="L8" i="2"/>
  <c r="O10" i="2"/>
  <c r="H29" i="1"/>
  <c r="G29" i="1"/>
  <c r="F29" i="1"/>
  <c r="E29" i="1"/>
  <c r="F28" i="1"/>
  <c r="E28" i="1"/>
  <c r="D25" i="1"/>
  <c r="D24" i="1"/>
  <c r="I23" i="1"/>
  <c r="L23" i="1" s="1"/>
  <c r="G23" i="1"/>
  <c r="H23" i="1" s="1"/>
  <c r="D23" i="1"/>
  <c r="D22" i="1"/>
  <c r="I21" i="1"/>
  <c r="L21" i="1" s="1"/>
  <c r="G21" i="1"/>
  <c r="H21" i="1" s="1"/>
  <c r="D21" i="1"/>
  <c r="D20" i="1"/>
  <c r="I19" i="1"/>
  <c r="L19" i="1" s="1"/>
  <c r="G19" i="1"/>
  <c r="H19" i="1" s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N10" i="1"/>
  <c r="L10" i="1"/>
  <c r="C10" i="1"/>
  <c r="C25" i="1" s="1"/>
  <c r="L9" i="1"/>
  <c r="C9" i="1"/>
  <c r="F8" i="1"/>
  <c r="C8" i="1"/>
  <c r="L8" i="1" s="1"/>
  <c r="C7" i="1"/>
  <c r="F6" i="1"/>
  <c r="C6" i="1"/>
  <c r="L6" i="1" s="1"/>
  <c r="L3" i="1"/>
  <c r="O6" i="1" s="1"/>
  <c r="P25" i="3" l="1"/>
  <c r="N25" i="3"/>
  <c r="M25" i="3"/>
  <c r="O25" i="3"/>
  <c r="G11" i="3"/>
  <c r="H11" i="3" s="1"/>
  <c r="I11" i="3"/>
  <c r="L11" i="3" s="1"/>
  <c r="J11" i="3"/>
  <c r="K11" i="3"/>
  <c r="F26" i="2"/>
  <c r="J10" i="2"/>
  <c r="O23" i="2"/>
  <c r="M23" i="2"/>
  <c r="N23" i="2"/>
  <c r="P23" i="2"/>
  <c r="O19" i="2"/>
  <c r="M19" i="2"/>
  <c r="N19" i="2"/>
  <c r="P19" i="2"/>
  <c r="O21" i="2"/>
  <c r="M21" i="2"/>
  <c r="N21" i="2"/>
  <c r="P21" i="2"/>
  <c r="M8" i="2"/>
  <c r="P8" i="2"/>
  <c r="N8" i="2"/>
  <c r="F11" i="2"/>
  <c r="G25" i="2"/>
  <c r="H25" i="2" s="1"/>
  <c r="I25" i="2"/>
  <c r="L25" i="2" s="1"/>
  <c r="M7" i="2"/>
  <c r="P7" i="2"/>
  <c r="N7" i="2"/>
  <c r="P6" i="1"/>
  <c r="N6" i="1"/>
  <c r="M6" i="1"/>
  <c r="O7" i="1"/>
  <c r="F7" i="1"/>
  <c r="F10" i="1" s="1"/>
  <c r="O8" i="1"/>
  <c r="M9" i="1"/>
  <c r="N9" i="1"/>
  <c r="F11" i="1"/>
  <c r="G11" i="1" s="1"/>
  <c r="H11" i="1" s="1"/>
  <c r="L7" i="1"/>
  <c r="P9" i="1"/>
  <c r="P19" i="1"/>
  <c r="N19" i="1"/>
  <c r="O19" i="1"/>
  <c r="P21" i="1"/>
  <c r="N21" i="1"/>
  <c r="O21" i="1"/>
  <c r="P23" i="1"/>
  <c r="N23" i="1"/>
  <c r="O23" i="1"/>
  <c r="G25" i="1"/>
  <c r="H25" i="1" s="1"/>
  <c r="I25" i="1" s="1"/>
  <c r="L25" i="1" s="1"/>
  <c r="P8" i="1"/>
  <c r="N8" i="1"/>
  <c r="M8" i="1"/>
  <c r="O9" i="1"/>
  <c r="F9" i="1"/>
  <c r="O10" i="1"/>
  <c r="M10" i="1"/>
  <c r="P10" i="1"/>
  <c r="M19" i="1"/>
  <c r="I20" i="1"/>
  <c r="L20" i="1" s="1"/>
  <c r="G20" i="1"/>
  <c r="H20" i="1" s="1"/>
  <c r="M21" i="1"/>
  <c r="G22" i="1"/>
  <c r="H22" i="1" s="1"/>
  <c r="I22" i="1" s="1"/>
  <c r="L22" i="1" s="1"/>
  <c r="M23" i="1"/>
  <c r="I24" i="1"/>
  <c r="L24" i="1" s="1"/>
  <c r="G24" i="1"/>
  <c r="H24" i="1" s="1"/>
  <c r="O11" i="3" l="1"/>
  <c r="M11" i="3"/>
  <c r="P11" i="3"/>
  <c r="N11" i="3"/>
  <c r="J12" i="3"/>
  <c r="F12" i="3"/>
  <c r="P25" i="2"/>
  <c r="N25" i="2"/>
  <c r="M25" i="2"/>
  <c r="O25" i="2"/>
  <c r="G11" i="2"/>
  <c r="H11" i="2" s="1"/>
  <c r="I11" i="2"/>
  <c r="J11" i="2"/>
  <c r="K11" i="2"/>
  <c r="O22" i="1"/>
  <c r="M22" i="1"/>
  <c r="P22" i="1"/>
  <c r="N22" i="1"/>
  <c r="O25" i="1"/>
  <c r="M25" i="1"/>
  <c r="N25" i="1"/>
  <c r="P25" i="1"/>
  <c r="F26" i="1"/>
  <c r="J10" i="1"/>
  <c r="J11" i="1" s="1"/>
  <c r="O24" i="1"/>
  <c r="M24" i="1"/>
  <c r="P24" i="1"/>
  <c r="N24" i="1"/>
  <c r="O20" i="1"/>
  <c r="M20" i="1"/>
  <c r="P20" i="1"/>
  <c r="N20" i="1"/>
  <c r="M7" i="1"/>
  <c r="P7" i="1"/>
  <c r="N7" i="1"/>
  <c r="I11" i="1"/>
  <c r="F13" i="3" l="1"/>
  <c r="G12" i="3"/>
  <c r="H12" i="3" s="1"/>
  <c r="I12" i="3"/>
  <c r="L12" i="3" s="1"/>
  <c r="K12" i="3"/>
  <c r="L11" i="2"/>
  <c r="O11" i="2"/>
  <c r="M11" i="2"/>
  <c r="P11" i="2"/>
  <c r="N11" i="2"/>
  <c r="J12" i="2"/>
  <c r="F12" i="2"/>
  <c r="J12" i="1"/>
  <c r="F12" i="1"/>
  <c r="K12" i="1"/>
  <c r="K11" i="1"/>
  <c r="L11" i="1" s="1"/>
  <c r="P12" i="3" l="1"/>
  <c r="N12" i="3"/>
  <c r="M12" i="3"/>
  <c r="O12" i="3"/>
  <c r="G13" i="3"/>
  <c r="H13" i="3" s="1"/>
  <c r="I13" i="3" s="1"/>
  <c r="L13" i="3" s="1"/>
  <c r="K13" i="3"/>
  <c r="J13" i="3"/>
  <c r="F13" i="2"/>
  <c r="G12" i="2"/>
  <c r="H12" i="2" s="1"/>
  <c r="I12" i="2" s="1"/>
  <c r="L12" i="2" s="1"/>
  <c r="K12" i="2"/>
  <c r="P11" i="1"/>
  <c r="N11" i="1"/>
  <c r="M11" i="1"/>
  <c r="O11" i="1"/>
  <c r="J13" i="1"/>
  <c r="F13" i="1"/>
  <c r="I12" i="1"/>
  <c r="L12" i="1" s="1"/>
  <c r="G12" i="1"/>
  <c r="H12" i="1" s="1"/>
  <c r="O13" i="3" l="1"/>
  <c r="M13" i="3"/>
  <c r="N13" i="3"/>
  <c r="P13" i="3"/>
  <c r="F14" i="3"/>
  <c r="P12" i="2"/>
  <c r="N12" i="2"/>
  <c r="M12" i="2"/>
  <c r="O12" i="2"/>
  <c r="G13" i="2"/>
  <c r="H13" i="2" s="1"/>
  <c r="I13" i="2" s="1"/>
  <c r="K13" i="2"/>
  <c r="J13" i="2"/>
  <c r="O12" i="1"/>
  <c r="M12" i="1"/>
  <c r="N12" i="1"/>
  <c r="P12" i="1"/>
  <c r="F14" i="1"/>
  <c r="G13" i="1"/>
  <c r="H13" i="1" s="1"/>
  <c r="I13" i="1" s="1"/>
  <c r="L13" i="1" s="1"/>
  <c r="K13" i="1"/>
  <c r="G14" i="3" l="1"/>
  <c r="H14" i="3" s="1"/>
  <c r="I14" i="3" s="1"/>
  <c r="L14" i="3" s="1"/>
  <c r="K14" i="3"/>
  <c r="J14" i="3"/>
  <c r="L13" i="2"/>
  <c r="O13" i="2"/>
  <c r="M13" i="2"/>
  <c r="N13" i="2"/>
  <c r="P13" i="2"/>
  <c r="F14" i="2"/>
  <c r="P13" i="1"/>
  <c r="N13" i="1"/>
  <c r="O13" i="1"/>
  <c r="M13" i="1"/>
  <c r="G14" i="1"/>
  <c r="H14" i="1" s="1"/>
  <c r="I14" i="1" s="1"/>
  <c r="L14" i="1" s="1"/>
  <c r="K14" i="1"/>
  <c r="J14" i="1"/>
  <c r="P14" i="3" l="1"/>
  <c r="N14" i="3"/>
  <c r="O14" i="3"/>
  <c r="M14" i="3"/>
  <c r="F15" i="3"/>
  <c r="G14" i="2"/>
  <c r="H14" i="2" s="1"/>
  <c r="I14" i="2" s="1"/>
  <c r="K14" i="2"/>
  <c r="J14" i="2"/>
  <c r="O14" i="1"/>
  <c r="M14" i="1"/>
  <c r="P14" i="1"/>
  <c r="N14" i="1"/>
  <c r="F15" i="1"/>
  <c r="G15" i="3" l="1"/>
  <c r="H15" i="3" s="1"/>
  <c r="I15" i="3"/>
  <c r="L15" i="3" s="1"/>
  <c r="K15" i="3"/>
  <c r="J15" i="3"/>
  <c r="L14" i="2"/>
  <c r="P14" i="2"/>
  <c r="N14" i="2"/>
  <c r="O14" i="2"/>
  <c r="M14" i="2"/>
  <c r="F15" i="2"/>
  <c r="G15" i="1"/>
  <c r="H15" i="1" s="1"/>
  <c r="I15" i="1"/>
  <c r="L15" i="1" s="1"/>
  <c r="K15" i="1"/>
  <c r="J15" i="1"/>
  <c r="F16" i="3" l="1"/>
  <c r="O15" i="3"/>
  <c r="M15" i="3"/>
  <c r="P15" i="3"/>
  <c r="N15" i="3"/>
  <c r="G15" i="2"/>
  <c r="H15" i="2" s="1"/>
  <c r="I15" i="2"/>
  <c r="L15" i="2" s="1"/>
  <c r="K15" i="2"/>
  <c r="J15" i="2"/>
  <c r="F16" i="1"/>
  <c r="P15" i="1"/>
  <c r="N15" i="1"/>
  <c r="M15" i="1"/>
  <c r="O15" i="1"/>
  <c r="G16" i="3" l="1"/>
  <c r="H16" i="3" s="1"/>
  <c r="I16" i="3"/>
  <c r="L16" i="3" s="1"/>
  <c r="K16" i="3"/>
  <c r="J16" i="3"/>
  <c r="F16" i="2"/>
  <c r="O15" i="2"/>
  <c r="M15" i="2"/>
  <c r="P15" i="2"/>
  <c r="N15" i="2"/>
  <c r="G16" i="1"/>
  <c r="H16" i="1" s="1"/>
  <c r="I16" i="1" s="1"/>
  <c r="L16" i="1" s="1"/>
  <c r="K16" i="1"/>
  <c r="J16" i="1"/>
  <c r="F17" i="3" l="1"/>
  <c r="P16" i="3"/>
  <c r="N16" i="3"/>
  <c r="M16" i="3"/>
  <c r="O16" i="3"/>
  <c r="G16" i="2"/>
  <c r="H16" i="2" s="1"/>
  <c r="I16" i="2"/>
  <c r="L16" i="2" s="1"/>
  <c r="K16" i="2"/>
  <c r="J16" i="2"/>
  <c r="O16" i="1"/>
  <c r="M16" i="1"/>
  <c r="N16" i="1"/>
  <c r="P16" i="1"/>
  <c r="F17" i="1"/>
  <c r="G17" i="3" l="1"/>
  <c r="H17" i="3" s="1"/>
  <c r="I17" i="3"/>
  <c r="L17" i="3" s="1"/>
  <c r="K17" i="3"/>
  <c r="J17" i="3"/>
  <c r="F17" i="2"/>
  <c r="P16" i="2"/>
  <c r="N16" i="2"/>
  <c r="M16" i="2"/>
  <c r="O16" i="2"/>
  <c r="G17" i="1"/>
  <c r="H17" i="1" s="1"/>
  <c r="I17" i="1"/>
  <c r="L17" i="1" s="1"/>
  <c r="K17" i="1"/>
  <c r="J17" i="1"/>
  <c r="F18" i="3" l="1"/>
  <c r="O17" i="3"/>
  <c r="M17" i="3"/>
  <c r="N17" i="3"/>
  <c r="P17" i="3"/>
  <c r="G17" i="2"/>
  <c r="H17" i="2" s="1"/>
  <c r="I17" i="2"/>
  <c r="L17" i="2" s="1"/>
  <c r="K17" i="2"/>
  <c r="J17" i="2"/>
  <c r="F18" i="1"/>
  <c r="P17" i="1"/>
  <c r="N17" i="1"/>
  <c r="O17" i="1"/>
  <c r="M17" i="1"/>
  <c r="G18" i="3" l="1"/>
  <c r="H18" i="3" s="1"/>
  <c r="I18" i="3"/>
  <c r="L18" i="3" s="1"/>
  <c r="K18" i="3"/>
  <c r="J18" i="3"/>
  <c r="F18" i="2"/>
  <c r="O17" i="2"/>
  <c r="M17" i="2"/>
  <c r="N17" i="2"/>
  <c r="P17" i="2"/>
  <c r="G18" i="1"/>
  <c r="H18" i="1" s="1"/>
  <c r="I18" i="1"/>
  <c r="L18" i="1" s="1"/>
  <c r="K18" i="1"/>
  <c r="J18" i="1"/>
  <c r="P18" i="3" l="1"/>
  <c r="P26" i="3" s="1"/>
  <c r="N18" i="3"/>
  <c r="N26" i="3" s="1"/>
  <c r="O18" i="3"/>
  <c r="M18" i="3"/>
  <c r="M26" i="3" s="1"/>
  <c r="M5" i="3" s="1"/>
  <c r="L26" i="3"/>
  <c r="O26" i="3" s="1"/>
  <c r="O5" i="3" s="1"/>
  <c r="G18" i="2"/>
  <c r="H18" i="2" s="1"/>
  <c r="I18" i="2"/>
  <c r="L18" i="2" s="1"/>
  <c r="K18" i="2"/>
  <c r="J18" i="2"/>
  <c r="O18" i="1"/>
  <c r="M18" i="1"/>
  <c r="M26" i="1" s="1"/>
  <c r="M5" i="1" s="1"/>
  <c r="P18" i="1"/>
  <c r="P26" i="1" s="1"/>
  <c r="N18" i="1"/>
  <c r="N26" i="1" s="1"/>
  <c r="L26" i="1"/>
  <c r="O26" i="1" s="1"/>
  <c r="O5" i="1" s="1"/>
  <c r="P18" i="2" l="1"/>
  <c r="P26" i="2" s="1"/>
  <c r="N18" i="2"/>
  <c r="N26" i="2" s="1"/>
  <c r="O18" i="2"/>
  <c r="M18" i="2"/>
  <c r="M26" i="2" s="1"/>
  <c r="M5" i="2" s="1"/>
  <c r="L26" i="2"/>
  <c r="O26" i="2" s="1"/>
  <c r="O5" i="2" s="1"/>
</calcChain>
</file>

<file path=xl/sharedStrings.xml><?xml version="1.0" encoding="utf-8"?>
<sst xmlns="http://schemas.openxmlformats.org/spreadsheetml/2006/main" count="177" uniqueCount="56">
  <si>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</si>
  <si>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</si>
  <si>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</si>
  <si>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</si>
  <si>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</si>
  <si>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</si>
  <si>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</si>
  <si>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</si>
  <si>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</si>
  <si>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</si>
  <si>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</si>
  <si>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</si>
  <si>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</si>
  <si>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</si>
  <si>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</si>
  <si>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</si>
  <si>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設備投資</t>
    <rPh sb="0" eb="2">
      <t>セツビ</t>
    </rPh>
    <rPh sb="2" eb="4">
      <t>トウシ</t>
    </rPh>
    <phoneticPr fontId="1"/>
  </si>
  <si>
    <t>粗収係数</t>
    <rPh sb="0" eb="1">
      <t>ホボ</t>
    </rPh>
    <rPh sb="1" eb="2">
      <t>オサム</t>
    </rPh>
    <rPh sb="2" eb="4">
      <t>ケイスウ</t>
    </rPh>
    <phoneticPr fontId="1"/>
  </si>
  <si>
    <t>初年度</t>
    <rPh sb="0" eb="3">
      <t>ショネンド</t>
    </rPh>
    <phoneticPr fontId="1"/>
  </si>
  <si>
    <t>次年度</t>
    <rPh sb="0" eb="3">
      <t>ジネンド</t>
    </rPh>
    <phoneticPr fontId="1"/>
  </si>
  <si>
    <t>三年度</t>
    <rPh sb="0" eb="3">
      <t>サンネンド</t>
    </rPh>
    <phoneticPr fontId="1"/>
  </si>
  <si>
    <t>自資比率</t>
    <rPh sb="0" eb="1">
      <t>ジ</t>
    </rPh>
    <rPh sb="1" eb="2">
      <t>シ</t>
    </rPh>
    <rPh sb="2" eb="4">
      <t>ヒリツ</t>
    </rPh>
    <phoneticPr fontId="1"/>
  </si>
  <si>
    <t>自資利率</t>
    <rPh sb="0" eb="1">
      <t>ジ</t>
    </rPh>
    <rPh sb="1" eb="2">
      <t>シ</t>
    </rPh>
    <rPh sb="2" eb="4">
      <t>リリツ</t>
    </rPh>
    <phoneticPr fontId="1"/>
  </si>
  <si>
    <t>金利</t>
    <rPh sb="0" eb="2">
      <t>キンリ</t>
    </rPh>
    <phoneticPr fontId="1"/>
  </si>
  <si>
    <t>資本コスト</t>
    <rPh sb="0" eb="2">
      <t>シホン</t>
    </rPh>
    <phoneticPr fontId="1"/>
  </si>
  <si>
    <t>所得税</t>
    <rPh sb="0" eb="3">
      <t>ショトクゼイ</t>
    </rPh>
    <phoneticPr fontId="1"/>
  </si>
  <si>
    <t>自己資本利率</t>
    <rPh sb="0" eb="2">
      <t>ジコ</t>
    </rPh>
    <rPh sb="2" eb="4">
      <t>シホン</t>
    </rPh>
    <rPh sb="4" eb="6">
      <t>リリツ</t>
    </rPh>
    <phoneticPr fontId="1"/>
  </si>
  <si>
    <t>総資本利率</t>
    <rPh sb="0" eb="1">
      <t>ソウ</t>
    </rPh>
    <rPh sb="1" eb="3">
      <t>シホン</t>
    </rPh>
    <rPh sb="3" eb="5">
      <t>リリツ</t>
    </rPh>
    <phoneticPr fontId="1"/>
  </si>
  <si>
    <t>粗収益</t>
    <rPh sb="0" eb="3">
      <t>ソシャウエキ</t>
    </rPh>
    <phoneticPr fontId="1"/>
  </si>
  <si>
    <t>年</t>
    <rPh sb="0" eb="1">
      <t>ネン</t>
    </rPh>
    <phoneticPr fontId="1"/>
  </si>
  <si>
    <t>投資</t>
    <rPh sb="0" eb="2">
      <t>トウシ</t>
    </rPh>
    <phoneticPr fontId="1"/>
  </si>
  <si>
    <t>粗収入</t>
    <rPh sb="0" eb="1">
      <t>ソ</t>
    </rPh>
    <rPh sb="1" eb="3">
      <t>シュウニュウ</t>
    </rPh>
    <phoneticPr fontId="1"/>
  </si>
  <si>
    <t>償却</t>
    <rPh sb="0" eb="2">
      <t>ショウキャク</t>
    </rPh>
    <phoneticPr fontId="1"/>
  </si>
  <si>
    <t>利払</t>
    <rPh sb="0" eb="2">
      <t>リバラ</t>
    </rPh>
    <phoneticPr fontId="1"/>
  </si>
  <si>
    <t>課税対象</t>
    <rPh sb="0" eb="2">
      <t>カゼイ</t>
    </rPh>
    <rPh sb="2" eb="4">
      <t>タイショウ</t>
    </rPh>
    <phoneticPr fontId="1"/>
  </si>
  <si>
    <t>正味利益</t>
    <rPh sb="0" eb="2">
      <t>ショウミ</t>
    </rPh>
    <rPh sb="2" eb="4">
      <t>リエキ</t>
    </rPh>
    <phoneticPr fontId="1"/>
  </si>
  <si>
    <t>元金</t>
    <rPh sb="0" eb="2">
      <t>ガンキン</t>
    </rPh>
    <phoneticPr fontId="1"/>
  </si>
  <si>
    <t>元金払</t>
    <rPh sb="0" eb="2">
      <t>ガンキン</t>
    </rPh>
    <rPh sb="2" eb="3">
      <t>バラ</t>
    </rPh>
    <phoneticPr fontId="1"/>
  </si>
  <si>
    <t>キャッシュ</t>
    <phoneticPr fontId="1"/>
  </si>
  <si>
    <t>正味現価</t>
    <rPh sb="0" eb="2">
      <t>ショウミ</t>
    </rPh>
    <rPh sb="2" eb="4">
      <t>ゲンカ</t>
    </rPh>
    <phoneticPr fontId="1"/>
  </si>
  <si>
    <t>内部利率</t>
    <rPh sb="0" eb="2">
      <t>ナイブ</t>
    </rPh>
    <rPh sb="2" eb="4">
      <t>リリツ</t>
    </rPh>
    <phoneticPr fontId="1"/>
  </si>
  <si>
    <t>n</t>
    <phoneticPr fontId="1"/>
  </si>
  <si>
    <t>I,Iw</t>
    <phoneticPr fontId="1"/>
  </si>
  <si>
    <t>R</t>
    <phoneticPr fontId="1"/>
  </si>
  <si>
    <t>D</t>
    <phoneticPr fontId="1"/>
  </si>
  <si>
    <t>J</t>
    <phoneticPr fontId="1"/>
  </si>
  <si>
    <t>R-D-J</t>
    <phoneticPr fontId="1"/>
  </si>
  <si>
    <t>X</t>
    <phoneticPr fontId="1"/>
  </si>
  <si>
    <t>P</t>
    <phoneticPr fontId="1"/>
  </si>
  <si>
    <t>F</t>
    <phoneticPr fontId="1"/>
  </si>
  <si>
    <t>RP</t>
    <phoneticPr fontId="1"/>
  </si>
  <si>
    <t>CF</t>
    <phoneticPr fontId="1"/>
  </si>
  <si>
    <t>（元利合計）</t>
    <rPh sb="1" eb="3">
      <t>ガンリ</t>
    </rPh>
    <rPh sb="3" eb="5">
      <t>ゴウケイ</t>
    </rPh>
    <phoneticPr fontId="1"/>
  </si>
  <si>
    <t>（元利均等払）</t>
    <rPh sb="1" eb="3">
      <t>ガンリ</t>
    </rPh>
    <rPh sb="3" eb="5">
      <t>キントウ</t>
    </rPh>
    <rPh sb="5" eb="6">
      <t>バラ</t>
    </rPh>
    <phoneticPr fontId="1"/>
  </si>
  <si>
    <t>自己資本</t>
    <rPh sb="0" eb="2">
      <t>ジコ</t>
    </rPh>
    <rPh sb="2" eb="4">
      <t>シホン</t>
    </rPh>
    <phoneticPr fontId="1"/>
  </si>
  <si>
    <t>総資本</t>
    <rPh sb="0" eb="1">
      <t>ソウ</t>
    </rPh>
    <rPh sb="1" eb="3">
      <t>シホン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</si>
</sst>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0_);[Red]\(0.000\)"/>
    <numFmt numFmtId="178" formatCode="0_);[Red]\(0\)"/>
    <numFmt numFmtId="179" formatCode="0.0_);[Red]\(0.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7.7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1" xfId="0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176" fontId="2" fillId="0" borderId="1" xfId="0" applyNumberFormat="1" applyFont="1" applyBorder="1"/>
    <xf numFmtId="176" fontId="2" fillId="0" borderId="1" xfId="0" applyNumberFormat="1" applyFont="1" applyFill="1" applyBorder="1"/>
    <xf numFmtId="176" fontId="4" fillId="0" borderId="1" xfId="0" applyNumberFormat="1" applyFont="1" applyBorder="1" applyAlignment="1">
      <alignment horizontal="center"/>
    </xf>
    <xf numFmtId="177" fontId="2" fillId="0" borderId="1" xfId="0" applyNumberFormat="1" applyFont="1" applyBorder="1" applyAlignment="1">
      <alignment horizontal="center"/>
    </xf>
    <xf numFmtId="177" fontId="2" fillId="0" borderId="1" xfId="0" applyNumberFormat="1" applyFont="1" applyBorder="1"/>
    <xf numFmtId="178" fontId="2" fillId="0" borderId="1" xfId="0" applyNumberFormat="1" applyFont="1" applyBorder="1"/>
    <xf numFmtId="179" fontId="2" fillId="0" borderId="1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right"/>
    </xf>
    <xf numFmtId="176" fontId="2" fillId="0" borderId="0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 applyProtection="1">
      <alignment horizontal="center"/>
    </xf>
    <xf numFmtId="176" fontId="2" fillId="0" borderId="0" xfId="0" applyNumberFormat="1" applyFont="1"/>
    <xf numFmtId="179" fontId="0" fillId="0" borderId="0" xfId="0" applyNumberFormat="1"/>
    <xf numFmtId="177" fontId="2" fillId="0" borderId="0" xfId="0" applyNumberFormat="1" applyFont="1"/>
    <xf numFmtId="0" fontId="4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65" workbookViewId="0">
      <selection activeCell="M33" sqref="M33"/>
    </sheetView>
  </sheetViews>
  <sheetFormatPr defaultRowHeight="13.5" x14ac:dyDescent="0.15"/>
  <cols>
    <col min="1" max="1" width="3" customWidth="1"/>
    <col min="2" max="2" width="3.5" customWidth="1"/>
    <col min="3" max="3" width="4" customWidth="1"/>
    <col min="4" max="4" width="6" customWidth="1"/>
    <col min="5" max="5" width="6.875" customWidth="1"/>
    <col min="6" max="15" width="7.125" customWidth="1"/>
    <col min="16" max="16" width="7.125" style="25" customWidth="1"/>
  </cols>
  <sheetData>
    <row r="1" spans="1:1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15">
      <c r="A2" s="3">
        <v>2</v>
      </c>
      <c r="B2" s="29" t="s">
        <v>16</v>
      </c>
      <c r="C2" s="29"/>
      <c r="D2" s="4">
        <v>100</v>
      </c>
      <c r="E2" s="5" t="s">
        <v>17</v>
      </c>
      <c r="F2" s="6" t="s">
        <v>18</v>
      </c>
      <c r="G2" s="6" t="s">
        <v>19</v>
      </c>
      <c r="H2" s="6" t="s">
        <v>20</v>
      </c>
      <c r="I2" s="7" t="s">
        <v>21</v>
      </c>
      <c r="J2" s="8" t="s">
        <v>22</v>
      </c>
      <c r="K2" s="6" t="s">
        <v>23</v>
      </c>
      <c r="L2" s="8" t="s">
        <v>24</v>
      </c>
      <c r="M2" s="6" t="s">
        <v>25</v>
      </c>
      <c r="N2" s="30" t="s">
        <v>26</v>
      </c>
      <c r="O2" s="32" t="s">
        <v>27</v>
      </c>
      <c r="P2" s="33"/>
    </row>
    <row r="3" spans="1:16" x14ac:dyDescent="0.15">
      <c r="A3" s="9">
        <v>3</v>
      </c>
      <c r="B3" s="29" t="s">
        <v>28</v>
      </c>
      <c r="C3" s="29"/>
      <c r="D3" s="9">
        <v>35</v>
      </c>
      <c r="E3" s="10">
        <v>1</v>
      </c>
      <c r="F3" s="10">
        <v>0.7</v>
      </c>
      <c r="G3" s="10">
        <v>0.8</v>
      </c>
      <c r="H3" s="10">
        <v>0.9</v>
      </c>
      <c r="I3" s="9">
        <v>0.25</v>
      </c>
      <c r="J3" s="11">
        <v>0.1</v>
      </c>
      <c r="K3" s="9">
        <v>0.08</v>
      </c>
      <c r="L3" s="9">
        <f>I3*J3+(1-I3)*K3</f>
        <v>8.4999999999999992E-2</v>
      </c>
      <c r="M3" s="10">
        <v>0.5</v>
      </c>
      <c r="N3" s="31"/>
      <c r="O3" s="34"/>
      <c r="P3" s="35"/>
    </row>
    <row r="4" spans="1:16" x14ac:dyDescent="0.15">
      <c r="A4" s="3">
        <v>4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7" t="s">
        <v>34</v>
      </c>
      <c r="H4" s="6" t="s">
        <v>25</v>
      </c>
      <c r="I4" s="7" t="s">
        <v>35</v>
      </c>
      <c r="J4" s="6" t="s">
        <v>36</v>
      </c>
      <c r="K4" s="6" t="s">
        <v>37</v>
      </c>
      <c r="L4" s="7" t="s">
        <v>38</v>
      </c>
      <c r="M4" s="7" t="s">
        <v>39</v>
      </c>
      <c r="N4" s="7" t="s">
        <v>40</v>
      </c>
      <c r="O4" s="8" t="s">
        <v>39</v>
      </c>
      <c r="P4" s="12" t="s">
        <v>40</v>
      </c>
    </row>
    <row r="5" spans="1:16" x14ac:dyDescent="0.15">
      <c r="A5" s="9">
        <v>5</v>
      </c>
      <c r="B5" s="6" t="s">
        <v>41</v>
      </c>
      <c r="C5" s="6" t="s">
        <v>42</v>
      </c>
      <c r="D5" s="6" t="s">
        <v>43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2">
        <f>M26</f>
        <v>60.287831125052485</v>
      </c>
      <c r="N5" s="13">
        <v>0.18577859955716658</v>
      </c>
      <c r="O5" s="10">
        <f>O26</f>
        <v>82.990053626298305</v>
      </c>
      <c r="P5" s="14">
        <v>5.0214386146024116E-2</v>
      </c>
    </row>
    <row r="6" spans="1:16" x14ac:dyDescent="0.15">
      <c r="A6" s="3">
        <v>6</v>
      </c>
      <c r="B6" s="15">
        <v>-4</v>
      </c>
      <c r="C6" s="9">
        <f>$D$2*0.15</f>
        <v>15</v>
      </c>
      <c r="D6" s="16"/>
      <c r="E6" s="9"/>
      <c r="F6" s="10">
        <f>(1-$I$3)*$C$6/(1+$K$3)^$B$6</f>
        <v>15.305500800000003</v>
      </c>
      <c r="G6" s="9"/>
      <c r="H6" s="9"/>
      <c r="I6" s="9"/>
      <c r="J6" s="10"/>
      <c r="K6" s="10"/>
      <c r="L6" s="10">
        <f>-C6</f>
        <v>-15</v>
      </c>
      <c r="M6" s="10">
        <f>$I$3*L6/(1+$L$3)^B6</f>
        <v>-5.1969701273437492</v>
      </c>
      <c r="N6" s="10">
        <f>$I$3*L6/(1+$N$5)^B6</f>
        <v>-7.4138825240276933</v>
      </c>
      <c r="O6" s="10">
        <f>-C6/(1+$L$3)^B6</f>
        <v>-20.787880509374997</v>
      </c>
      <c r="P6" s="10">
        <f>L6/(1+$P$5)^B6</f>
        <v>-18.247489036880122</v>
      </c>
    </row>
    <row r="7" spans="1:16" x14ac:dyDescent="0.15">
      <c r="A7" s="9">
        <v>7</v>
      </c>
      <c r="B7" s="15">
        <v>-3</v>
      </c>
      <c r="C7" s="9">
        <f>$D$2*0.35</f>
        <v>35</v>
      </c>
      <c r="D7" s="16"/>
      <c r="E7" s="9"/>
      <c r="F7" s="10">
        <f>(1-$I$3)*$C$7/(1+$K$3)^$B$7</f>
        <v>33.067440000000005</v>
      </c>
      <c r="G7" s="9"/>
      <c r="H7" s="9"/>
      <c r="I7" s="9"/>
      <c r="J7" s="10"/>
      <c r="K7" s="10"/>
      <c r="L7" s="10">
        <f>-C7</f>
        <v>-35</v>
      </c>
      <c r="M7" s="10">
        <f>$I$3*L7/(1+$L$3)^B7</f>
        <v>-11.176279843750001</v>
      </c>
      <c r="N7" s="10">
        <f>$I$3*L7/(1+$N$5)^B7</f>
        <v>-14.588776715308979</v>
      </c>
      <c r="O7" s="10">
        <f>-C7/(1+$L$3)^B7</f>
        <v>-44.705119375000002</v>
      </c>
      <c r="P7" s="10">
        <f>L7/(1+$P$5)^B7</f>
        <v>-40.541697943820495</v>
      </c>
    </row>
    <row r="8" spans="1:16" x14ac:dyDescent="0.15">
      <c r="A8" s="3">
        <v>8</v>
      </c>
      <c r="B8" s="15">
        <v>-2</v>
      </c>
      <c r="C8" s="9">
        <f>$D$2*0.35</f>
        <v>35</v>
      </c>
      <c r="D8" s="16"/>
      <c r="E8" s="9"/>
      <c r="F8" s="10">
        <f>(1-$I$3)*$C$8/(1+$K$3)^$B$8</f>
        <v>30.618000000000002</v>
      </c>
      <c r="G8" s="9"/>
      <c r="H8" s="9"/>
      <c r="I8" s="9"/>
      <c r="J8" s="10"/>
      <c r="K8" s="10"/>
      <c r="L8" s="10">
        <f>-C8</f>
        <v>-35</v>
      </c>
      <c r="M8" s="10">
        <f>$I$3*L8/(1+$L$3)^B8</f>
        <v>-10.30071875</v>
      </c>
      <c r="N8" s="10">
        <f>$I$3*L8/(1+$N$5)^B8</f>
        <v>-12.303120262717858</v>
      </c>
      <c r="O8" s="10">
        <f>-C8/(1+$L$3)^B8</f>
        <v>-41.202874999999999</v>
      </c>
      <c r="P8" s="10">
        <f>L8/(1+$P$5)^B8</f>
        <v>-38.60325899038245</v>
      </c>
    </row>
    <row r="9" spans="1:16" x14ac:dyDescent="0.15">
      <c r="A9" s="9">
        <v>9</v>
      </c>
      <c r="B9" s="15">
        <v>-1</v>
      </c>
      <c r="C9" s="9">
        <f>$D$2*0.15</f>
        <v>15</v>
      </c>
      <c r="D9" s="16"/>
      <c r="E9" s="9"/>
      <c r="F9" s="10">
        <f>(1-$I$3)*$C$9/(1+$K$3)^$B$9</f>
        <v>12.150000000000002</v>
      </c>
      <c r="G9" s="9"/>
      <c r="H9" s="9"/>
      <c r="I9" s="9"/>
      <c r="J9" s="10"/>
      <c r="K9" s="10"/>
      <c r="L9" s="10">
        <f>-C9</f>
        <v>-15</v>
      </c>
      <c r="M9" s="10">
        <f>$I$3*L9/(1+$L$3)^B9</f>
        <v>-4.0687499999999996</v>
      </c>
      <c r="N9" s="10">
        <f>$I$3*L9/(1+$N$5)^B9</f>
        <v>-4.4466697483393745</v>
      </c>
      <c r="O9" s="10">
        <f>-C9/(1+$L$3)^B9</f>
        <v>-16.274999999999999</v>
      </c>
      <c r="P9" s="10">
        <f>L9/(1+$P$5)^B9</f>
        <v>-15.75321579219036</v>
      </c>
    </row>
    <row r="10" spans="1:16" x14ac:dyDescent="0.15">
      <c r="A10" s="3">
        <v>10</v>
      </c>
      <c r="B10" s="9">
        <v>0</v>
      </c>
      <c r="C10" s="9">
        <f>$D$2*0.1</f>
        <v>10</v>
      </c>
      <c r="D10" s="16"/>
      <c r="E10" s="17" t="s">
        <v>52</v>
      </c>
      <c r="F10" s="10">
        <f>SUM(F6:F9)</f>
        <v>91.14094080000001</v>
      </c>
      <c r="G10" s="9"/>
      <c r="H10" s="9"/>
      <c r="I10" s="9"/>
      <c r="J10" s="10">
        <f>F10</f>
        <v>91.14094080000001</v>
      </c>
      <c r="K10" s="10"/>
      <c r="L10" s="10">
        <f>-C10</f>
        <v>-10</v>
      </c>
      <c r="M10" s="10">
        <f>$I$3*L10/(1+$L$3)^B10</f>
        <v>-2.5</v>
      </c>
      <c r="N10" s="10">
        <f t="shared" ref="N10:N25" si="0">L10/(1+$N$5)^B10</f>
        <v>-10</v>
      </c>
      <c r="O10" s="10">
        <f>L10</f>
        <v>-10</v>
      </c>
      <c r="P10" s="10">
        <f>L10</f>
        <v>-10</v>
      </c>
    </row>
    <row r="11" spans="1:16" x14ac:dyDescent="0.15">
      <c r="A11" s="9">
        <v>11</v>
      </c>
      <c r="B11" s="9">
        <v>1</v>
      </c>
      <c r="C11" s="9"/>
      <c r="D11" s="16">
        <f>$E$3*D3*F3</f>
        <v>24.5</v>
      </c>
      <c r="E11" s="9">
        <f t="shared" ref="E11:E18" si="1">$D$2*0.9/8</f>
        <v>11.25</v>
      </c>
      <c r="F11" s="10">
        <f>SUM(F6:F9)*$K$3</f>
        <v>7.2912752640000011</v>
      </c>
      <c r="G11" s="10">
        <f t="shared" ref="G11:G25" si="2">D11-E11-F11</f>
        <v>5.9587247359999989</v>
      </c>
      <c r="H11" s="10">
        <f t="shared" ref="H11:H25" si="3">IF(G11&gt;0,G11*$M$3,0)</f>
        <v>2.9793623679999994</v>
      </c>
      <c r="I11" s="10">
        <f t="shared" ref="I11:I25" si="4">D11-E11-F11-H11</f>
        <v>2.9793623679999994</v>
      </c>
      <c r="J11" s="10">
        <f t="shared" ref="J11:J18" si="5">J10-($F$26-F11)</f>
        <v>82.57234707057458</v>
      </c>
      <c r="K11" s="10">
        <f>$F$26-F11</f>
        <v>8.5685937294254302</v>
      </c>
      <c r="L11" s="10">
        <f>I11+E11-K11</f>
        <v>5.6607686385745701</v>
      </c>
      <c r="M11" s="10">
        <f>L11/(1+$L$3)^B11</f>
        <v>5.2172982844005258</v>
      </c>
      <c r="N11" s="10">
        <f t="shared" si="0"/>
        <v>4.773883287055952</v>
      </c>
      <c r="O11" s="10">
        <f>L11</f>
        <v>5.6607686385745701</v>
      </c>
      <c r="P11" s="10">
        <f t="shared" ref="P11:P25" si="6">L11/(1+$P$5)^B11</f>
        <v>5.3901076896765012</v>
      </c>
    </row>
    <row r="12" spans="1:16" x14ac:dyDescent="0.15">
      <c r="A12" s="3">
        <v>12</v>
      </c>
      <c r="B12" s="9">
        <v>2</v>
      </c>
      <c r="C12" s="9"/>
      <c r="D12" s="16">
        <f>$E$3*D3*G3</f>
        <v>28</v>
      </c>
      <c r="E12" s="9">
        <f t="shared" si="1"/>
        <v>11.25</v>
      </c>
      <c r="F12" s="10">
        <f t="shared" ref="F12:F18" si="7">J11*$K$3</f>
        <v>6.6057877656459665</v>
      </c>
      <c r="G12" s="10">
        <f t="shared" si="2"/>
        <v>10.144212234354033</v>
      </c>
      <c r="H12" s="10">
        <f t="shared" si="3"/>
        <v>5.0721061171770163</v>
      </c>
      <c r="I12" s="10">
        <f t="shared" si="4"/>
        <v>5.0721061171770163</v>
      </c>
      <c r="J12" s="10">
        <f t="shared" si="5"/>
        <v>73.318265842795114</v>
      </c>
      <c r="K12" s="10">
        <f t="shared" ref="K12:K18" si="8">$F$26-F12</f>
        <v>9.2540812277794657</v>
      </c>
      <c r="L12" s="10">
        <f t="shared" ref="L12:L18" si="9">I12+E12-K12</f>
        <v>7.0680248893975488</v>
      </c>
      <c r="M12" s="10">
        <f t="shared" ref="M12:M25" si="10">L12/(1+$L$3)^B12</f>
        <v>6.003971109513941</v>
      </c>
      <c r="N12" s="10">
        <f t="shared" si="0"/>
        <v>5.0267912904694674</v>
      </c>
      <c r="O12" s="10">
        <f t="shared" ref="O12:O26" si="11">L12</f>
        <v>7.0680248893975488</v>
      </c>
      <c r="P12" s="10">
        <f t="shared" si="6"/>
        <v>6.4082898076182184</v>
      </c>
    </row>
    <row r="13" spans="1:16" x14ac:dyDescent="0.15">
      <c r="A13" s="9">
        <v>13</v>
      </c>
      <c r="B13" s="9">
        <v>3</v>
      </c>
      <c r="C13" s="9"/>
      <c r="D13" s="16">
        <f>$E$3*D3*H3</f>
        <v>31.5</v>
      </c>
      <c r="E13" s="9">
        <f t="shared" si="1"/>
        <v>11.25</v>
      </c>
      <c r="F13" s="10">
        <f t="shared" si="7"/>
        <v>5.8654612674236093</v>
      </c>
      <c r="G13" s="10">
        <f t="shared" si="2"/>
        <v>14.384538732576392</v>
      </c>
      <c r="H13" s="10">
        <f t="shared" si="3"/>
        <v>7.1922693662881958</v>
      </c>
      <c r="I13" s="10">
        <f t="shared" si="4"/>
        <v>7.1922693662881958</v>
      </c>
      <c r="J13" s="10">
        <f t="shared" si="5"/>
        <v>63.323858116793289</v>
      </c>
      <c r="K13" s="10">
        <f t="shared" si="8"/>
        <v>9.9944077260018211</v>
      </c>
      <c r="L13" s="10">
        <f t="shared" si="9"/>
        <v>8.4478616402863729</v>
      </c>
      <c r="M13" s="10">
        <f t="shared" si="10"/>
        <v>6.6138992926025049</v>
      </c>
      <c r="N13" s="10">
        <f t="shared" si="0"/>
        <v>5.0668257383731037</v>
      </c>
      <c r="O13" s="10">
        <f t="shared" si="11"/>
        <v>8.4478616402863729</v>
      </c>
      <c r="P13" s="10">
        <f t="shared" si="6"/>
        <v>7.2931123363344703</v>
      </c>
    </row>
    <row r="14" spans="1:16" x14ac:dyDescent="0.15">
      <c r="A14" s="3">
        <v>14</v>
      </c>
      <c r="B14" s="9">
        <v>4</v>
      </c>
      <c r="C14" s="9"/>
      <c r="D14" s="16">
        <f t="shared" ref="D14:D24" si="12">$E$3*$D$3</f>
        <v>35</v>
      </c>
      <c r="E14" s="9">
        <f t="shared" si="1"/>
        <v>11.25</v>
      </c>
      <c r="F14" s="10">
        <f t="shared" si="7"/>
        <v>5.0659086493434629</v>
      </c>
      <c r="G14" s="10">
        <f t="shared" si="2"/>
        <v>18.684091350656537</v>
      </c>
      <c r="H14" s="10">
        <f t="shared" si="3"/>
        <v>9.3420456753282686</v>
      </c>
      <c r="I14" s="10">
        <f t="shared" si="4"/>
        <v>9.3420456753282686</v>
      </c>
      <c r="J14" s="10">
        <f t="shared" si="5"/>
        <v>52.529897772711323</v>
      </c>
      <c r="K14" s="10">
        <f t="shared" si="8"/>
        <v>10.793960344081968</v>
      </c>
      <c r="L14" s="10">
        <f t="shared" si="9"/>
        <v>9.7980853312463001</v>
      </c>
      <c r="M14" s="10">
        <f t="shared" si="10"/>
        <v>7.0700464100903808</v>
      </c>
      <c r="N14" s="10">
        <f t="shared" si="0"/>
        <v>4.9559485024335919</v>
      </c>
      <c r="O14" s="10">
        <f t="shared" si="11"/>
        <v>9.7980853312463001</v>
      </c>
      <c r="P14" s="10">
        <f t="shared" si="6"/>
        <v>8.0543289913286067</v>
      </c>
    </row>
    <row r="15" spans="1:16" x14ac:dyDescent="0.15">
      <c r="A15" s="9">
        <v>15</v>
      </c>
      <c r="B15" s="9">
        <v>5</v>
      </c>
      <c r="C15" s="9"/>
      <c r="D15" s="16">
        <f t="shared" si="12"/>
        <v>35</v>
      </c>
      <c r="E15" s="9">
        <f t="shared" si="1"/>
        <v>11.25</v>
      </c>
      <c r="F15" s="10">
        <f t="shared" si="7"/>
        <v>4.2023918218169056</v>
      </c>
      <c r="G15" s="10">
        <f t="shared" si="2"/>
        <v>19.547608178183093</v>
      </c>
      <c r="H15" s="10">
        <f t="shared" si="3"/>
        <v>9.7738040890915467</v>
      </c>
      <c r="I15" s="10">
        <f t="shared" si="4"/>
        <v>9.7738040890915467</v>
      </c>
      <c r="J15" s="10">
        <f t="shared" si="5"/>
        <v>40.872420601102796</v>
      </c>
      <c r="K15" s="10">
        <f t="shared" si="8"/>
        <v>11.657477171608527</v>
      </c>
      <c r="L15" s="10">
        <f t="shared" si="9"/>
        <v>9.3663269174830219</v>
      </c>
      <c r="M15" s="10">
        <f t="shared" si="10"/>
        <v>6.2290328494953702</v>
      </c>
      <c r="N15" s="10">
        <f t="shared" si="0"/>
        <v>3.9953172607699448</v>
      </c>
      <c r="O15" s="10">
        <f t="shared" si="11"/>
        <v>9.3663269174830219</v>
      </c>
      <c r="P15" s="10">
        <f t="shared" si="6"/>
        <v>7.3312747678574963</v>
      </c>
    </row>
    <row r="16" spans="1:16" x14ac:dyDescent="0.15">
      <c r="A16" s="3">
        <v>16</v>
      </c>
      <c r="B16" s="9">
        <v>6</v>
      </c>
      <c r="C16" s="9"/>
      <c r="D16" s="16">
        <f t="shared" si="12"/>
        <v>35</v>
      </c>
      <c r="E16" s="9">
        <f t="shared" si="1"/>
        <v>11.25</v>
      </c>
      <c r="F16" s="10">
        <f t="shared" si="7"/>
        <v>3.2697936480882239</v>
      </c>
      <c r="G16" s="10">
        <f t="shared" si="2"/>
        <v>20.480206351911775</v>
      </c>
      <c r="H16" s="10">
        <f t="shared" si="3"/>
        <v>10.240103175955888</v>
      </c>
      <c r="I16" s="10">
        <f t="shared" si="4"/>
        <v>10.240103175955888</v>
      </c>
      <c r="J16" s="10">
        <f t="shared" si="5"/>
        <v>28.282345255765588</v>
      </c>
      <c r="K16" s="10">
        <f t="shared" si="8"/>
        <v>12.590075345337208</v>
      </c>
      <c r="L16" s="10">
        <f t="shared" si="9"/>
        <v>8.9000278306186793</v>
      </c>
      <c r="M16" s="10">
        <f t="shared" si="10"/>
        <v>5.45522836487803</v>
      </c>
      <c r="N16" s="10">
        <f t="shared" si="0"/>
        <v>3.2016194969125626</v>
      </c>
      <c r="O16" s="10">
        <f t="shared" si="11"/>
        <v>8.9000278306186793</v>
      </c>
      <c r="P16" s="10">
        <f t="shared" si="6"/>
        <v>6.6332075469349805</v>
      </c>
    </row>
    <row r="17" spans="1:16" x14ac:dyDescent="0.15">
      <c r="A17" s="9">
        <v>17</v>
      </c>
      <c r="B17" s="9">
        <v>7</v>
      </c>
      <c r="C17" s="9"/>
      <c r="D17" s="16">
        <f t="shared" si="12"/>
        <v>35</v>
      </c>
      <c r="E17" s="9">
        <f t="shared" si="1"/>
        <v>11.25</v>
      </c>
      <c r="F17" s="10">
        <f t="shared" si="7"/>
        <v>2.2625876204612472</v>
      </c>
      <c r="G17" s="10">
        <f t="shared" si="2"/>
        <v>21.487412379538753</v>
      </c>
      <c r="H17" s="10">
        <f t="shared" si="3"/>
        <v>10.743706189769377</v>
      </c>
      <c r="I17" s="10">
        <f t="shared" si="4"/>
        <v>10.743706189769377</v>
      </c>
      <c r="J17" s="10">
        <f t="shared" si="5"/>
        <v>14.685063882801403</v>
      </c>
      <c r="K17" s="10">
        <f t="shared" si="8"/>
        <v>13.597281372964185</v>
      </c>
      <c r="L17" s="10">
        <f t="shared" si="9"/>
        <v>8.396424816805192</v>
      </c>
      <c r="M17" s="10">
        <f t="shared" si="10"/>
        <v>4.7433616312954099</v>
      </c>
      <c r="N17" s="10">
        <f t="shared" si="0"/>
        <v>2.5472357819595892</v>
      </c>
      <c r="O17" s="10">
        <f t="shared" si="11"/>
        <v>8.396424816805192</v>
      </c>
      <c r="P17" s="10">
        <f t="shared" si="6"/>
        <v>5.95866077669693</v>
      </c>
    </row>
    <row r="18" spans="1:16" x14ac:dyDescent="0.15">
      <c r="A18" s="3">
        <v>18</v>
      </c>
      <c r="B18" s="9">
        <v>8</v>
      </c>
      <c r="C18" s="9"/>
      <c r="D18" s="16">
        <f t="shared" si="12"/>
        <v>35</v>
      </c>
      <c r="E18" s="9">
        <f t="shared" si="1"/>
        <v>11.25</v>
      </c>
      <c r="F18" s="10">
        <f t="shared" si="7"/>
        <v>1.1748051106241122</v>
      </c>
      <c r="G18" s="10">
        <f t="shared" si="2"/>
        <v>22.575194889375886</v>
      </c>
      <c r="H18" s="10">
        <f t="shared" si="3"/>
        <v>11.287597444687943</v>
      </c>
      <c r="I18" s="10">
        <f t="shared" si="4"/>
        <v>11.287597444687943</v>
      </c>
      <c r="J18" s="10">
        <f t="shared" si="5"/>
        <v>8.3488771451811772E-14</v>
      </c>
      <c r="K18" s="10">
        <f t="shared" si="8"/>
        <v>14.68506388280132</v>
      </c>
      <c r="L18" s="10">
        <f t="shared" si="9"/>
        <v>7.8525335618866237</v>
      </c>
      <c r="M18" s="10">
        <f t="shared" si="10"/>
        <v>4.0885743128452159</v>
      </c>
      <c r="N18" s="10">
        <f t="shared" si="0"/>
        <v>2.0090046241084125</v>
      </c>
      <c r="O18" s="10">
        <f t="shared" si="11"/>
        <v>7.8525335618866237</v>
      </c>
      <c r="P18" s="10">
        <f t="shared" si="6"/>
        <v>5.3062303165143367</v>
      </c>
    </row>
    <row r="19" spans="1:16" x14ac:dyDescent="0.15">
      <c r="A19" s="9">
        <v>19</v>
      </c>
      <c r="B19" s="9">
        <v>9</v>
      </c>
      <c r="C19" s="9"/>
      <c r="D19" s="16">
        <f t="shared" si="12"/>
        <v>35</v>
      </c>
      <c r="E19" s="9"/>
      <c r="F19" s="10"/>
      <c r="G19" s="10">
        <f t="shared" si="2"/>
        <v>35</v>
      </c>
      <c r="H19" s="10">
        <f t="shared" si="3"/>
        <v>17.5</v>
      </c>
      <c r="I19" s="10">
        <f t="shared" si="4"/>
        <v>17.5</v>
      </c>
      <c r="J19" s="10"/>
      <c r="K19" s="10"/>
      <c r="L19" s="10">
        <f t="shared" ref="L19:L25" si="13">I19+E19</f>
        <v>17.5</v>
      </c>
      <c r="M19" s="10">
        <f t="shared" si="10"/>
        <v>8.3978943180130496</v>
      </c>
      <c r="N19" s="10">
        <f t="shared" si="0"/>
        <v>3.7757703840654533</v>
      </c>
      <c r="O19" s="10">
        <f t="shared" si="11"/>
        <v>17.5</v>
      </c>
      <c r="P19" s="10">
        <f t="shared" si="6"/>
        <v>11.259947897035429</v>
      </c>
    </row>
    <row r="20" spans="1:16" x14ac:dyDescent="0.15">
      <c r="A20" s="3">
        <v>20</v>
      </c>
      <c r="B20" s="9">
        <v>10</v>
      </c>
      <c r="C20" s="9"/>
      <c r="D20" s="16">
        <f t="shared" si="12"/>
        <v>35</v>
      </c>
      <c r="E20" s="9"/>
      <c r="F20" s="10"/>
      <c r="G20" s="10">
        <f t="shared" si="2"/>
        <v>35</v>
      </c>
      <c r="H20" s="10">
        <f t="shared" si="3"/>
        <v>17.5</v>
      </c>
      <c r="I20" s="10">
        <f t="shared" si="4"/>
        <v>17.5</v>
      </c>
      <c r="J20" s="10"/>
      <c r="K20" s="10"/>
      <c r="L20" s="10">
        <f t="shared" si="13"/>
        <v>17.5</v>
      </c>
      <c r="M20" s="10">
        <f t="shared" si="10"/>
        <v>7.7399947631456678</v>
      </c>
      <c r="N20" s="10">
        <f t="shared" si="0"/>
        <v>3.1842119477240769</v>
      </c>
      <c r="O20" s="10">
        <f t="shared" si="11"/>
        <v>17.5</v>
      </c>
      <c r="P20" s="10">
        <f t="shared" si="6"/>
        <v>10.72157080075441</v>
      </c>
    </row>
    <row r="21" spans="1:16" x14ac:dyDescent="0.15">
      <c r="A21" s="9">
        <v>21</v>
      </c>
      <c r="B21" s="9">
        <v>11</v>
      </c>
      <c r="C21" s="9"/>
      <c r="D21" s="16">
        <f t="shared" si="12"/>
        <v>35</v>
      </c>
      <c r="E21" s="9"/>
      <c r="F21" s="10"/>
      <c r="G21" s="10">
        <f t="shared" si="2"/>
        <v>35</v>
      </c>
      <c r="H21" s="10">
        <f t="shared" si="3"/>
        <v>17.5</v>
      </c>
      <c r="I21" s="10">
        <f t="shared" si="4"/>
        <v>17.5</v>
      </c>
      <c r="J21" s="10"/>
      <c r="K21" s="10"/>
      <c r="L21" s="10">
        <f t="shared" si="13"/>
        <v>17.5</v>
      </c>
      <c r="M21" s="10">
        <f t="shared" si="10"/>
        <v>7.1336357264015371</v>
      </c>
      <c r="N21" s="10">
        <f t="shared" si="0"/>
        <v>2.6853343017939713</v>
      </c>
      <c r="O21" s="10">
        <f t="shared" si="11"/>
        <v>17.5</v>
      </c>
      <c r="P21" s="10">
        <f t="shared" si="6"/>
        <v>10.208935377565529</v>
      </c>
    </row>
    <row r="22" spans="1:16" x14ac:dyDescent="0.15">
      <c r="A22" s="3">
        <v>22</v>
      </c>
      <c r="B22" s="9">
        <v>12</v>
      </c>
      <c r="C22" s="9"/>
      <c r="D22" s="16">
        <f t="shared" si="12"/>
        <v>35</v>
      </c>
      <c r="E22" s="9"/>
      <c r="F22" s="10"/>
      <c r="G22" s="10">
        <f t="shared" si="2"/>
        <v>35</v>
      </c>
      <c r="H22" s="10">
        <f t="shared" si="3"/>
        <v>17.5</v>
      </c>
      <c r="I22" s="10">
        <f t="shared" si="4"/>
        <v>17.5</v>
      </c>
      <c r="J22" s="10"/>
      <c r="K22" s="10"/>
      <c r="L22" s="10">
        <f t="shared" si="13"/>
        <v>17.5</v>
      </c>
      <c r="M22" s="10">
        <f t="shared" si="10"/>
        <v>6.5747794713378234</v>
      </c>
      <c r="N22" s="10">
        <f t="shared" si="0"/>
        <v>2.2646169384375967</v>
      </c>
      <c r="O22" s="10">
        <f t="shared" si="11"/>
        <v>17.5</v>
      </c>
      <c r="P22" s="10">
        <f t="shared" si="6"/>
        <v>9.7208108289482702</v>
      </c>
    </row>
    <row r="23" spans="1:16" x14ac:dyDescent="0.15">
      <c r="A23" s="9">
        <v>23</v>
      </c>
      <c r="B23" s="9">
        <v>13</v>
      </c>
      <c r="C23" s="9"/>
      <c r="D23" s="16">
        <f t="shared" si="12"/>
        <v>35</v>
      </c>
      <c r="E23" s="9"/>
      <c r="F23" s="10"/>
      <c r="G23" s="10">
        <f t="shared" si="2"/>
        <v>35</v>
      </c>
      <c r="H23" s="10">
        <f t="shared" si="3"/>
        <v>17.5</v>
      </c>
      <c r="I23" s="10">
        <f t="shared" si="4"/>
        <v>17.5</v>
      </c>
      <c r="J23" s="10"/>
      <c r="K23" s="10"/>
      <c r="L23" s="10">
        <f t="shared" si="13"/>
        <v>17.5</v>
      </c>
      <c r="M23" s="10">
        <f t="shared" si="10"/>
        <v>6.0597045818781776</v>
      </c>
      <c r="N23" s="10">
        <f t="shared" si="0"/>
        <v>1.9098143104314125</v>
      </c>
      <c r="O23" s="10">
        <f t="shared" si="11"/>
        <v>17.5</v>
      </c>
      <c r="P23" s="10">
        <f t="shared" si="6"/>
        <v>9.256025205120995</v>
      </c>
    </row>
    <row r="24" spans="1:16" x14ac:dyDescent="0.15">
      <c r="A24" s="3">
        <v>24</v>
      </c>
      <c r="B24" s="9">
        <v>14</v>
      </c>
      <c r="C24" s="9"/>
      <c r="D24" s="16">
        <f t="shared" si="12"/>
        <v>35</v>
      </c>
      <c r="E24" s="9"/>
      <c r="F24" s="10"/>
      <c r="G24" s="10">
        <f t="shared" si="2"/>
        <v>35</v>
      </c>
      <c r="H24" s="10">
        <f t="shared" si="3"/>
        <v>17.5</v>
      </c>
      <c r="I24" s="10">
        <f t="shared" si="4"/>
        <v>17.5</v>
      </c>
      <c r="J24" s="10"/>
      <c r="K24" s="10"/>
      <c r="L24" s="10">
        <f t="shared" si="13"/>
        <v>17.5</v>
      </c>
      <c r="M24" s="10">
        <f t="shared" si="10"/>
        <v>5.584981181454542</v>
      </c>
      <c r="N24" s="10">
        <f t="shared" si="0"/>
        <v>1.6105994079709653</v>
      </c>
      <c r="O24" s="10">
        <f t="shared" si="11"/>
        <v>17.5</v>
      </c>
      <c r="P24" s="10">
        <f t="shared" si="6"/>
        <v>8.8134625912789737</v>
      </c>
    </row>
    <row r="25" spans="1:16" x14ac:dyDescent="0.15">
      <c r="A25" s="9">
        <v>25</v>
      </c>
      <c r="B25" s="9">
        <v>15</v>
      </c>
      <c r="C25" s="15">
        <f>-C10</f>
        <v>-10</v>
      </c>
      <c r="D25" s="16">
        <f>$E$3*$D$3-C25</f>
        <v>45</v>
      </c>
      <c r="E25" s="9"/>
      <c r="F25" s="10"/>
      <c r="G25" s="10">
        <f t="shared" si="2"/>
        <v>45</v>
      </c>
      <c r="H25" s="10">
        <f t="shared" si="3"/>
        <v>22.5</v>
      </c>
      <c r="I25" s="10">
        <f t="shared" si="4"/>
        <v>22.5</v>
      </c>
      <c r="J25" s="10"/>
      <c r="K25" s="10"/>
      <c r="L25" s="10">
        <f t="shared" si="13"/>
        <v>22.5</v>
      </c>
      <c r="M25" s="10">
        <f t="shared" si="10"/>
        <v>6.6181475487940586</v>
      </c>
      <c r="N25" s="10">
        <f t="shared" si="0"/>
        <v>1.7463383705563402</v>
      </c>
      <c r="O25" s="10">
        <f t="shared" si="11"/>
        <v>22.5</v>
      </c>
      <c r="P25" s="10">
        <f t="shared" si="6"/>
        <v>10.789791979330451</v>
      </c>
    </row>
    <row r="26" spans="1:16" x14ac:dyDescent="0.15">
      <c r="A26" s="9">
        <v>26</v>
      </c>
      <c r="B26" s="9"/>
      <c r="C26" s="9"/>
      <c r="D26" s="36" t="s">
        <v>53</v>
      </c>
      <c r="E26" s="36"/>
      <c r="F26" s="10">
        <f>F10/((1-(1+K3)^-8)/$K$3)</f>
        <v>15.859868993425431</v>
      </c>
      <c r="G26" s="9"/>
      <c r="H26" s="9"/>
      <c r="I26" s="9"/>
      <c r="J26" s="10"/>
      <c r="K26" s="10"/>
      <c r="L26" s="10">
        <f>SUM(L6:L25)</f>
        <v>82.990053626298305</v>
      </c>
      <c r="M26" s="10">
        <f>SUM(M6:M25)</f>
        <v>60.287831125052485</v>
      </c>
      <c r="N26" s="10">
        <f>SUM(N6:N25)</f>
        <v>8.6239266853560537E-4</v>
      </c>
      <c r="O26" s="10">
        <f t="shared" si="11"/>
        <v>82.990053626298305</v>
      </c>
      <c r="P26" s="10">
        <f>SUM(P6:P25)</f>
        <v>9.5149722151077754E-5</v>
      </c>
    </row>
    <row r="27" spans="1:16" x14ac:dyDescent="0.15">
      <c r="A27" s="19"/>
      <c r="B27" s="19"/>
      <c r="C27" s="19"/>
      <c r="D27" s="20"/>
      <c r="E27" s="20"/>
      <c r="F27" s="21"/>
      <c r="G27" s="19"/>
      <c r="H27" s="19"/>
      <c r="I27" s="19"/>
      <c r="J27" s="21"/>
      <c r="K27" s="21"/>
      <c r="L27" s="21"/>
      <c r="M27" s="21"/>
      <c r="N27" s="21"/>
      <c r="O27" s="21"/>
      <c r="P27" s="21"/>
    </row>
    <row r="28" spans="1:16" x14ac:dyDescent="0.15">
      <c r="D28" s="22"/>
      <c r="E28" s="23" t="str">
        <f>E2</f>
        <v>粗収係数</v>
      </c>
      <c r="F28" s="24" t="str">
        <f>J2</f>
        <v>自資利率</v>
      </c>
      <c r="G28" s="23" t="s">
        <v>54</v>
      </c>
      <c r="H28" s="23" t="s">
        <v>55</v>
      </c>
    </row>
    <row r="29" spans="1:16" x14ac:dyDescent="0.15">
      <c r="D29" s="26"/>
      <c r="E29" s="25">
        <f>E3</f>
        <v>1</v>
      </c>
      <c r="F29" s="25">
        <f>I3</f>
        <v>0.25</v>
      </c>
      <c r="G29" s="27">
        <f>N5</f>
        <v>0.18577859955716658</v>
      </c>
      <c r="H29" s="27">
        <f>P5</f>
        <v>5.0214386146024116E-2</v>
      </c>
    </row>
  </sheetData>
  <mergeCells count="5">
    <mergeCell ref="B2:C2"/>
    <mergeCell ref="N2:N3"/>
    <mergeCell ref="O2:P3"/>
    <mergeCell ref="B3:C3"/>
    <mergeCell ref="D26:E26"/>
  </mergeCells>
  <phoneticPr fontId="1"/>
  <pageMargins left="0.75" right="0.75" top="1" bottom="1" header="0.51200000000000001" footer="0.51200000000000001"/>
  <pageSetup paperSize="9" scale="11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="65" workbookViewId="0">
      <selection sqref="A1:P26"/>
    </sheetView>
  </sheetViews>
  <sheetFormatPr defaultRowHeight="13.5" x14ac:dyDescent="0.15"/>
  <cols>
    <col min="1" max="1" width="3" customWidth="1"/>
    <col min="2" max="2" width="3.5" customWidth="1"/>
    <col min="3" max="3" width="4" customWidth="1"/>
    <col min="4" max="4" width="6" customWidth="1"/>
    <col min="5" max="5" width="6.875" customWidth="1"/>
    <col min="6" max="15" width="7.125" customWidth="1"/>
    <col min="16" max="16" width="7.125" style="25" customWidth="1"/>
  </cols>
  <sheetData>
    <row r="1" spans="1:1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15">
      <c r="A2" s="3">
        <v>2</v>
      </c>
      <c r="B2" s="29" t="s">
        <v>16</v>
      </c>
      <c r="C2" s="29"/>
      <c r="D2" s="4">
        <v>100</v>
      </c>
      <c r="E2" s="5" t="s">
        <v>17</v>
      </c>
      <c r="F2" s="6" t="s">
        <v>18</v>
      </c>
      <c r="G2" s="6" t="s">
        <v>19</v>
      </c>
      <c r="H2" s="6" t="s">
        <v>20</v>
      </c>
      <c r="I2" s="7" t="s">
        <v>21</v>
      </c>
      <c r="J2" s="8" t="s">
        <v>22</v>
      </c>
      <c r="K2" s="6" t="s">
        <v>23</v>
      </c>
      <c r="L2" s="8" t="s">
        <v>24</v>
      </c>
      <c r="M2" s="6" t="s">
        <v>25</v>
      </c>
      <c r="N2" s="30" t="s">
        <v>26</v>
      </c>
      <c r="O2" s="32" t="s">
        <v>27</v>
      </c>
      <c r="P2" s="33"/>
    </row>
    <row r="3" spans="1:16" x14ac:dyDescent="0.15">
      <c r="A3" s="9">
        <v>3</v>
      </c>
      <c r="B3" s="29" t="s">
        <v>28</v>
      </c>
      <c r="C3" s="29"/>
      <c r="D3" s="9">
        <v>35</v>
      </c>
      <c r="E3" s="10">
        <v>1</v>
      </c>
      <c r="F3" s="10">
        <v>0.7</v>
      </c>
      <c r="G3" s="10">
        <v>0.8</v>
      </c>
      <c r="H3" s="10">
        <v>0.9</v>
      </c>
      <c r="I3" s="9">
        <v>1</v>
      </c>
      <c r="J3" s="11">
        <v>0.1</v>
      </c>
      <c r="K3" s="9">
        <v>0.08</v>
      </c>
      <c r="L3" s="9">
        <f>I3*J3+(1-I3)*K3</f>
        <v>0.1</v>
      </c>
      <c r="M3" s="10">
        <v>0.5</v>
      </c>
      <c r="N3" s="31"/>
      <c r="O3" s="34"/>
      <c r="P3" s="35"/>
    </row>
    <row r="4" spans="1:16" x14ac:dyDescent="0.15">
      <c r="A4" s="3">
        <v>4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7" t="s">
        <v>34</v>
      </c>
      <c r="H4" s="6" t="s">
        <v>25</v>
      </c>
      <c r="I4" s="7" t="s">
        <v>35</v>
      </c>
      <c r="J4" s="6" t="s">
        <v>36</v>
      </c>
      <c r="K4" s="6" t="s">
        <v>37</v>
      </c>
      <c r="L4" s="7" t="s">
        <v>38</v>
      </c>
      <c r="M4" s="7" t="s">
        <v>39</v>
      </c>
      <c r="N4" s="7" t="s">
        <v>40</v>
      </c>
      <c r="O4" s="8" t="s">
        <v>39</v>
      </c>
      <c r="P4" s="12" t="s">
        <v>40</v>
      </c>
    </row>
    <row r="5" spans="1:16" x14ac:dyDescent="0.15">
      <c r="A5" s="9">
        <v>5</v>
      </c>
      <c r="B5" s="6" t="s">
        <v>41</v>
      </c>
      <c r="C5" s="6" t="s">
        <v>42</v>
      </c>
      <c r="D5" s="6" t="s">
        <v>43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2">
        <f>M26</f>
        <v>17.935721312668466</v>
      </c>
      <c r="N5" s="13">
        <v>0.11605911055417459</v>
      </c>
      <c r="O5" s="10">
        <f>O26</f>
        <v>192</v>
      </c>
      <c r="P5" s="14">
        <v>0.11605888740544353</v>
      </c>
    </row>
    <row r="6" spans="1:16" x14ac:dyDescent="0.15">
      <c r="A6" s="3">
        <v>6</v>
      </c>
      <c r="B6" s="15">
        <v>-4</v>
      </c>
      <c r="C6" s="9">
        <f>$D$2*0.15</f>
        <v>15</v>
      </c>
      <c r="D6" s="16"/>
      <c r="E6" s="9"/>
      <c r="F6" s="10">
        <f>(1-$I$3)*$C$6/(1+$K$3)^$B$6</f>
        <v>0</v>
      </c>
      <c r="G6" s="9"/>
      <c r="H6" s="9"/>
      <c r="I6" s="9"/>
      <c r="J6" s="10"/>
      <c r="K6" s="10"/>
      <c r="L6" s="10">
        <f>-C6</f>
        <v>-15</v>
      </c>
      <c r="M6" s="10">
        <f>$I$3*L6/(1+$L$3)^B6</f>
        <v>-21.961500000000004</v>
      </c>
      <c r="N6" s="10">
        <f>$I$3*L6/(1+$N$5)^B6</f>
        <v>-23.272339678744732</v>
      </c>
      <c r="O6" s="10">
        <f>-C6/(1+$L$3)^B6</f>
        <v>-21.961500000000004</v>
      </c>
      <c r="P6" s="10">
        <f>L6/(1+$P$5)^B6</f>
        <v>-23.27232106614094</v>
      </c>
    </row>
    <row r="7" spans="1:16" x14ac:dyDescent="0.15">
      <c r="A7" s="9">
        <v>7</v>
      </c>
      <c r="B7" s="15">
        <v>-3</v>
      </c>
      <c r="C7" s="9">
        <f>$D$2*0.35</f>
        <v>35</v>
      </c>
      <c r="D7" s="16"/>
      <c r="E7" s="9"/>
      <c r="F7" s="10">
        <f>(1-$I$3)*$C$7/(1+$K$3)^$B$7</f>
        <v>0</v>
      </c>
      <c r="G7" s="9"/>
      <c r="H7" s="9"/>
      <c r="I7" s="9"/>
      <c r="J7" s="10"/>
      <c r="K7" s="10"/>
      <c r="L7" s="10">
        <f>-C7</f>
        <v>-35</v>
      </c>
      <c r="M7" s="10">
        <f>$I$3*L7/(1+$L$3)^B7</f>
        <v>-46.585000000000015</v>
      </c>
      <c r="N7" s="10">
        <f>$I$3*L7/(1+$N$5)^B7</f>
        <v>-48.655241826848709</v>
      </c>
      <c r="O7" s="10">
        <f>-C7/(1+$L$3)^B7</f>
        <v>-46.585000000000015</v>
      </c>
      <c r="P7" s="10">
        <f>L7/(1+$P$5)^B7</f>
        <v>-48.655212641960922</v>
      </c>
    </row>
    <row r="8" spans="1:16" x14ac:dyDescent="0.15">
      <c r="A8" s="3">
        <v>8</v>
      </c>
      <c r="B8" s="15">
        <v>-2</v>
      </c>
      <c r="C8" s="9">
        <f>$D$2*0.35</f>
        <v>35</v>
      </c>
      <c r="D8" s="16"/>
      <c r="E8" s="9"/>
      <c r="F8" s="10">
        <f>(1-$I$3)*$C$8/(1+$K$3)^$B$8</f>
        <v>0</v>
      </c>
      <c r="G8" s="9"/>
      <c r="H8" s="9"/>
      <c r="I8" s="9"/>
      <c r="J8" s="10"/>
      <c r="K8" s="10"/>
      <c r="L8" s="10">
        <f>-C8</f>
        <v>-35</v>
      </c>
      <c r="M8" s="10">
        <f>$I$3*L8/(1+$L$3)^B8</f>
        <v>-42.35</v>
      </c>
      <c r="N8" s="10">
        <f>$I$3*L8/(1+$N$5)^B8</f>
        <v>-43.595577838784138</v>
      </c>
      <c r="O8" s="10">
        <f>-C8/(1+$L$3)^B8</f>
        <v>-42.35</v>
      </c>
      <c r="P8" s="10">
        <f>L8/(1+$P$5)^B8</f>
        <v>-43.595560405483681</v>
      </c>
    </row>
    <row r="9" spans="1:16" x14ac:dyDescent="0.15">
      <c r="A9" s="9">
        <v>9</v>
      </c>
      <c r="B9" s="15">
        <v>-1</v>
      </c>
      <c r="C9" s="9">
        <f>$D$2*0.15</f>
        <v>15</v>
      </c>
      <c r="D9" s="16"/>
      <c r="E9" s="9"/>
      <c r="F9" s="10">
        <f>(1-$I$3)*$C$9/(1+$K$3)^$B$9</f>
        <v>0</v>
      </c>
      <c r="G9" s="9"/>
      <c r="H9" s="9"/>
      <c r="I9" s="9"/>
      <c r="J9" s="10"/>
      <c r="K9" s="10"/>
      <c r="L9" s="10">
        <f>-C9</f>
        <v>-15</v>
      </c>
      <c r="M9" s="10">
        <f>$I$3*L9/(1+$L$3)^B9</f>
        <v>-16.5</v>
      </c>
      <c r="N9" s="10">
        <f>$I$3*L9/(1+$N$5)^B9</f>
        <v>-16.740886658312618</v>
      </c>
      <c r="O9" s="10">
        <f>-C9/(1+$L$3)^B9</f>
        <v>-16.5</v>
      </c>
      <c r="P9" s="10">
        <f>L9/(1+$P$5)^B9</f>
        <v>-16.740883311081653</v>
      </c>
    </row>
    <row r="10" spans="1:16" x14ac:dyDescent="0.15">
      <c r="A10" s="3">
        <v>10</v>
      </c>
      <c r="B10" s="9">
        <v>0</v>
      </c>
      <c r="C10" s="9">
        <f>$D$2*0.1</f>
        <v>10</v>
      </c>
      <c r="D10" s="16"/>
      <c r="E10" s="18" t="s">
        <v>52</v>
      </c>
      <c r="F10" s="10">
        <f>SUM(F6:F9)</f>
        <v>0</v>
      </c>
      <c r="G10" s="9"/>
      <c r="H10" s="9"/>
      <c r="I10" s="9"/>
      <c r="J10" s="10">
        <f>F10</f>
        <v>0</v>
      </c>
      <c r="K10" s="10"/>
      <c r="L10" s="10">
        <f>-C10</f>
        <v>-10</v>
      </c>
      <c r="M10" s="10">
        <f>$I$3*L10/(1+$L$3)^B10</f>
        <v>-10</v>
      </c>
      <c r="N10" s="10">
        <f t="shared" ref="N10:N25" si="0">L10/(1+$N$5)^B10</f>
        <v>-10</v>
      </c>
      <c r="O10" s="10">
        <f>L10</f>
        <v>-10</v>
      </c>
      <c r="P10" s="10">
        <f>L10</f>
        <v>-10</v>
      </c>
    </row>
    <row r="11" spans="1:16" x14ac:dyDescent="0.15">
      <c r="A11" s="9">
        <v>11</v>
      </c>
      <c r="B11" s="9">
        <v>1</v>
      </c>
      <c r="C11" s="9"/>
      <c r="D11" s="16">
        <f>$E$3*D3*F3</f>
        <v>24.5</v>
      </c>
      <c r="E11" s="9">
        <f t="shared" ref="E11:E18" si="1">$D$2*0.9/8</f>
        <v>11.25</v>
      </c>
      <c r="F11" s="10">
        <f>SUM(F6:F9)*$K$3</f>
        <v>0</v>
      </c>
      <c r="G11" s="10">
        <f t="shared" ref="G11:G25" si="2">D11-E11-F11</f>
        <v>13.25</v>
      </c>
      <c r="H11" s="10">
        <f t="shared" ref="H11:H25" si="3">IF(G11&gt;0,G11*$M$3,0)</f>
        <v>6.625</v>
      </c>
      <c r="I11" s="10">
        <f t="shared" ref="I11:I25" si="4">D11-E11-F11-H11</f>
        <v>6.625</v>
      </c>
      <c r="J11" s="10">
        <f t="shared" ref="J11:J18" si="5">J10-($F$26-F11)</f>
        <v>0</v>
      </c>
      <c r="K11" s="10">
        <f>$F$26-F11</f>
        <v>0</v>
      </c>
      <c r="L11" s="10">
        <f>I11+E11-K11</f>
        <v>17.875</v>
      </c>
      <c r="M11" s="10">
        <f>L11/(1+$L$3)^B11</f>
        <v>16.25</v>
      </c>
      <c r="N11" s="10">
        <f t="shared" si="0"/>
        <v>16.016176769637443</v>
      </c>
      <c r="O11" s="10">
        <f>L11</f>
        <v>17.875</v>
      </c>
      <c r="P11" s="10">
        <f t="shared" ref="P11:P25" si="6">L11/(1+$P$5)^B11</f>
        <v>16.01617997196804</v>
      </c>
    </row>
    <row r="12" spans="1:16" x14ac:dyDescent="0.15">
      <c r="A12" s="3">
        <v>12</v>
      </c>
      <c r="B12" s="9">
        <v>2</v>
      </c>
      <c r="C12" s="9"/>
      <c r="D12" s="16">
        <f>$E$3*D3*G3</f>
        <v>28</v>
      </c>
      <c r="E12" s="9">
        <f t="shared" si="1"/>
        <v>11.25</v>
      </c>
      <c r="F12" s="10">
        <f t="shared" ref="F12:F18" si="7">J11*$K$3</f>
        <v>0</v>
      </c>
      <c r="G12" s="10">
        <f t="shared" si="2"/>
        <v>16.75</v>
      </c>
      <c r="H12" s="10">
        <f t="shared" si="3"/>
        <v>8.375</v>
      </c>
      <c r="I12" s="10">
        <f t="shared" si="4"/>
        <v>8.375</v>
      </c>
      <c r="J12" s="10">
        <f t="shared" si="5"/>
        <v>0</v>
      </c>
      <c r="K12" s="10">
        <f t="shared" ref="K12:K18" si="8">$F$26-F12</f>
        <v>0</v>
      </c>
      <c r="L12" s="10">
        <f t="shared" ref="L12:L18" si="9">I12+E12-K12</f>
        <v>19.625</v>
      </c>
      <c r="M12" s="10">
        <f t="shared" ref="M12:M25" si="10">L12/(1+$L$3)^B12</f>
        <v>16.219008264462808</v>
      </c>
      <c r="N12" s="10">
        <f t="shared" si="0"/>
        <v>15.755611785673642</v>
      </c>
      <c r="O12" s="10">
        <f t="shared" ref="O12:O26" si="11">L12</f>
        <v>19.625</v>
      </c>
      <c r="P12" s="10">
        <f t="shared" si="6"/>
        <v>15.755618086138908</v>
      </c>
    </row>
    <row r="13" spans="1:16" x14ac:dyDescent="0.15">
      <c r="A13" s="9">
        <v>13</v>
      </c>
      <c r="B13" s="9">
        <v>3</v>
      </c>
      <c r="C13" s="9"/>
      <c r="D13" s="16">
        <f>$E$3*D3*H3</f>
        <v>31.5</v>
      </c>
      <c r="E13" s="9">
        <f t="shared" si="1"/>
        <v>11.25</v>
      </c>
      <c r="F13" s="10">
        <f t="shared" si="7"/>
        <v>0</v>
      </c>
      <c r="G13" s="10">
        <f t="shared" si="2"/>
        <v>20.25</v>
      </c>
      <c r="H13" s="10">
        <f t="shared" si="3"/>
        <v>10.125</v>
      </c>
      <c r="I13" s="10">
        <f t="shared" si="4"/>
        <v>10.125</v>
      </c>
      <c r="J13" s="10">
        <f t="shared" si="5"/>
        <v>0</v>
      </c>
      <c r="K13" s="10">
        <f t="shared" si="8"/>
        <v>0</v>
      </c>
      <c r="L13" s="10">
        <f t="shared" si="9"/>
        <v>21.375</v>
      </c>
      <c r="M13" s="10">
        <f t="shared" si="10"/>
        <v>16.05935386927122</v>
      </c>
      <c r="N13" s="10">
        <f t="shared" si="0"/>
        <v>15.37604113987104</v>
      </c>
      <c r="O13" s="10">
        <f t="shared" si="11"/>
        <v>21.375</v>
      </c>
      <c r="P13" s="10">
        <f t="shared" si="6"/>
        <v>15.37605036289178</v>
      </c>
    </row>
    <row r="14" spans="1:16" x14ac:dyDescent="0.15">
      <c r="A14" s="3">
        <v>14</v>
      </c>
      <c r="B14" s="9">
        <v>4</v>
      </c>
      <c r="C14" s="9"/>
      <c r="D14" s="16">
        <f t="shared" ref="D14:D24" si="12">$E$3*$D$3</f>
        <v>35</v>
      </c>
      <c r="E14" s="9">
        <f t="shared" si="1"/>
        <v>11.25</v>
      </c>
      <c r="F14" s="10">
        <f t="shared" si="7"/>
        <v>0</v>
      </c>
      <c r="G14" s="10">
        <f t="shared" si="2"/>
        <v>23.75</v>
      </c>
      <c r="H14" s="10">
        <f t="shared" si="3"/>
        <v>11.875</v>
      </c>
      <c r="I14" s="10">
        <f t="shared" si="4"/>
        <v>11.875</v>
      </c>
      <c r="J14" s="10">
        <f t="shared" si="5"/>
        <v>0</v>
      </c>
      <c r="K14" s="10">
        <f t="shared" si="8"/>
        <v>0</v>
      </c>
      <c r="L14" s="10">
        <f t="shared" si="9"/>
        <v>23.125</v>
      </c>
      <c r="M14" s="10">
        <f t="shared" si="10"/>
        <v>15.794686155317255</v>
      </c>
      <c r="N14" s="10">
        <f t="shared" si="0"/>
        <v>14.905033391069418</v>
      </c>
      <c r="O14" s="10">
        <f t="shared" si="11"/>
        <v>23.125</v>
      </c>
      <c r="P14" s="10">
        <f t="shared" si="6"/>
        <v>14.905045311731749</v>
      </c>
    </row>
    <row r="15" spans="1:16" x14ac:dyDescent="0.15">
      <c r="A15" s="9">
        <v>15</v>
      </c>
      <c r="B15" s="9">
        <v>5</v>
      </c>
      <c r="C15" s="9"/>
      <c r="D15" s="16">
        <f t="shared" si="12"/>
        <v>35</v>
      </c>
      <c r="E15" s="9">
        <f t="shared" si="1"/>
        <v>11.25</v>
      </c>
      <c r="F15" s="10">
        <f t="shared" si="7"/>
        <v>0</v>
      </c>
      <c r="G15" s="10">
        <f t="shared" si="2"/>
        <v>23.75</v>
      </c>
      <c r="H15" s="10">
        <f t="shared" si="3"/>
        <v>11.875</v>
      </c>
      <c r="I15" s="10">
        <f t="shared" si="4"/>
        <v>11.875</v>
      </c>
      <c r="J15" s="10">
        <f t="shared" si="5"/>
        <v>0</v>
      </c>
      <c r="K15" s="10">
        <f t="shared" si="8"/>
        <v>0</v>
      </c>
      <c r="L15" s="10">
        <f t="shared" si="9"/>
        <v>23.125</v>
      </c>
      <c r="M15" s="10">
        <f t="shared" si="10"/>
        <v>14.358805595742959</v>
      </c>
      <c r="N15" s="10">
        <f t="shared" si="0"/>
        <v>13.35505731741071</v>
      </c>
      <c r="O15" s="10">
        <f t="shared" si="11"/>
        <v>23.125</v>
      </c>
      <c r="P15" s="10">
        <f t="shared" si="6"/>
        <v>13.355070668701211</v>
      </c>
    </row>
    <row r="16" spans="1:16" x14ac:dyDescent="0.15">
      <c r="A16" s="3">
        <v>16</v>
      </c>
      <c r="B16" s="9">
        <v>6</v>
      </c>
      <c r="C16" s="9"/>
      <c r="D16" s="16">
        <f t="shared" si="12"/>
        <v>35</v>
      </c>
      <c r="E16" s="9">
        <f t="shared" si="1"/>
        <v>11.25</v>
      </c>
      <c r="F16" s="10">
        <f t="shared" si="7"/>
        <v>0</v>
      </c>
      <c r="G16" s="10">
        <f t="shared" si="2"/>
        <v>23.75</v>
      </c>
      <c r="H16" s="10">
        <f t="shared" si="3"/>
        <v>11.875</v>
      </c>
      <c r="I16" s="10">
        <f t="shared" si="4"/>
        <v>11.875</v>
      </c>
      <c r="J16" s="10">
        <f t="shared" si="5"/>
        <v>0</v>
      </c>
      <c r="K16" s="10">
        <f t="shared" si="8"/>
        <v>0</v>
      </c>
      <c r="L16" s="10">
        <f t="shared" si="9"/>
        <v>23.125</v>
      </c>
      <c r="M16" s="10">
        <f t="shared" si="10"/>
        <v>13.053459632493597</v>
      </c>
      <c r="N16" s="10">
        <f t="shared" si="0"/>
        <v>11.966263427372866</v>
      </c>
      <c r="O16" s="10">
        <f t="shared" si="11"/>
        <v>23.125</v>
      </c>
      <c r="P16" s="10">
        <f t="shared" si="6"/>
        <v>11.966277782840288</v>
      </c>
    </row>
    <row r="17" spans="1:16" x14ac:dyDescent="0.15">
      <c r="A17" s="9">
        <v>17</v>
      </c>
      <c r="B17" s="9">
        <v>7</v>
      </c>
      <c r="C17" s="9"/>
      <c r="D17" s="16">
        <f t="shared" si="12"/>
        <v>35</v>
      </c>
      <c r="E17" s="9">
        <f t="shared" si="1"/>
        <v>11.25</v>
      </c>
      <c r="F17" s="10">
        <f t="shared" si="7"/>
        <v>0</v>
      </c>
      <c r="G17" s="10">
        <f t="shared" si="2"/>
        <v>23.75</v>
      </c>
      <c r="H17" s="10">
        <f t="shared" si="3"/>
        <v>11.875</v>
      </c>
      <c r="I17" s="10">
        <f t="shared" si="4"/>
        <v>11.875</v>
      </c>
      <c r="J17" s="10">
        <f t="shared" si="5"/>
        <v>0</v>
      </c>
      <c r="K17" s="10">
        <f t="shared" si="8"/>
        <v>0</v>
      </c>
      <c r="L17" s="10">
        <f t="shared" si="9"/>
        <v>23.125</v>
      </c>
      <c r="M17" s="10">
        <f t="shared" si="10"/>
        <v>11.866781484085086</v>
      </c>
      <c r="N17" s="10">
        <f t="shared" si="0"/>
        <v>10.721890367823857</v>
      </c>
      <c r="O17" s="10">
        <f t="shared" si="11"/>
        <v>23.125</v>
      </c>
      <c r="P17" s="10">
        <f t="shared" si="6"/>
        <v>10.721905374239597</v>
      </c>
    </row>
    <row r="18" spans="1:16" x14ac:dyDescent="0.15">
      <c r="A18" s="3">
        <v>18</v>
      </c>
      <c r="B18" s="9">
        <v>8</v>
      </c>
      <c r="C18" s="9"/>
      <c r="D18" s="16">
        <f t="shared" si="12"/>
        <v>35</v>
      </c>
      <c r="E18" s="9">
        <f t="shared" si="1"/>
        <v>11.25</v>
      </c>
      <c r="F18" s="10">
        <f t="shared" si="7"/>
        <v>0</v>
      </c>
      <c r="G18" s="10">
        <f t="shared" si="2"/>
        <v>23.75</v>
      </c>
      <c r="H18" s="10">
        <f t="shared" si="3"/>
        <v>11.875</v>
      </c>
      <c r="I18" s="10">
        <f t="shared" si="4"/>
        <v>11.875</v>
      </c>
      <c r="J18" s="10">
        <f t="shared" si="5"/>
        <v>0</v>
      </c>
      <c r="K18" s="10">
        <f t="shared" si="8"/>
        <v>0</v>
      </c>
      <c r="L18" s="10">
        <f t="shared" si="9"/>
        <v>23.125</v>
      </c>
      <c r="M18" s="10">
        <f t="shared" si="10"/>
        <v>10.787983167350079</v>
      </c>
      <c r="N18" s="10">
        <f t="shared" si="0"/>
        <v>9.6069198006008367</v>
      </c>
      <c r="O18" s="10">
        <f t="shared" si="11"/>
        <v>23.125</v>
      </c>
      <c r="P18" s="10">
        <f t="shared" si="6"/>
        <v>9.6069351673416907</v>
      </c>
    </row>
    <row r="19" spans="1:16" x14ac:dyDescent="0.15">
      <c r="A19" s="9">
        <v>19</v>
      </c>
      <c r="B19" s="9">
        <v>9</v>
      </c>
      <c r="C19" s="9"/>
      <c r="D19" s="16">
        <f t="shared" si="12"/>
        <v>35</v>
      </c>
      <c r="E19" s="9"/>
      <c r="F19" s="10"/>
      <c r="G19" s="10">
        <f t="shared" si="2"/>
        <v>35</v>
      </c>
      <c r="H19" s="10">
        <f t="shared" si="3"/>
        <v>17.5</v>
      </c>
      <c r="I19" s="10">
        <f t="shared" si="4"/>
        <v>17.5</v>
      </c>
      <c r="J19" s="10"/>
      <c r="K19" s="10"/>
      <c r="L19" s="10">
        <f t="shared" ref="L19:L25" si="13">I19+E19</f>
        <v>17.5</v>
      </c>
      <c r="M19" s="10">
        <f t="shared" si="10"/>
        <v>7.4217083215184818</v>
      </c>
      <c r="N19" s="10">
        <f t="shared" si="0"/>
        <v>6.5140828133332631</v>
      </c>
      <c r="O19" s="10">
        <f t="shared" si="11"/>
        <v>17.5</v>
      </c>
      <c r="P19" s="10">
        <f t="shared" si="6"/>
        <v>6.5140945353798614</v>
      </c>
    </row>
    <row r="20" spans="1:16" x14ac:dyDescent="0.15">
      <c r="A20" s="3">
        <v>20</v>
      </c>
      <c r="B20" s="9">
        <v>10</v>
      </c>
      <c r="C20" s="9"/>
      <c r="D20" s="16">
        <f t="shared" si="12"/>
        <v>35</v>
      </c>
      <c r="E20" s="9"/>
      <c r="F20" s="10"/>
      <c r="G20" s="10">
        <f t="shared" si="2"/>
        <v>35</v>
      </c>
      <c r="H20" s="10">
        <f t="shared" si="3"/>
        <v>17.5</v>
      </c>
      <c r="I20" s="10">
        <f t="shared" si="4"/>
        <v>17.5</v>
      </c>
      <c r="J20" s="10"/>
      <c r="K20" s="10"/>
      <c r="L20" s="10">
        <f t="shared" si="13"/>
        <v>17.5</v>
      </c>
      <c r="M20" s="10">
        <f t="shared" si="10"/>
        <v>6.7470075650168004</v>
      </c>
      <c r="N20" s="10">
        <f t="shared" si="0"/>
        <v>5.8366826198826702</v>
      </c>
      <c r="O20" s="10">
        <f t="shared" si="11"/>
        <v>17.5</v>
      </c>
      <c r="P20" s="10">
        <f t="shared" si="6"/>
        <v>5.8366942899612528</v>
      </c>
    </row>
    <row r="21" spans="1:16" x14ac:dyDescent="0.15">
      <c r="A21" s="9">
        <v>21</v>
      </c>
      <c r="B21" s="9">
        <v>11</v>
      </c>
      <c r="C21" s="9"/>
      <c r="D21" s="16">
        <f t="shared" si="12"/>
        <v>35</v>
      </c>
      <c r="E21" s="9"/>
      <c r="F21" s="10"/>
      <c r="G21" s="10">
        <f t="shared" si="2"/>
        <v>35</v>
      </c>
      <c r="H21" s="10">
        <f t="shared" si="3"/>
        <v>17.5</v>
      </c>
      <c r="I21" s="10">
        <f t="shared" si="4"/>
        <v>17.5</v>
      </c>
      <c r="J21" s="10"/>
      <c r="K21" s="10"/>
      <c r="L21" s="10">
        <f t="shared" si="13"/>
        <v>17.5</v>
      </c>
      <c r="M21" s="10">
        <f t="shared" si="10"/>
        <v>6.1336432409243633</v>
      </c>
      <c r="N21" s="10">
        <f t="shared" si="0"/>
        <v>5.2297253475978431</v>
      </c>
      <c r="O21" s="10">
        <f t="shared" si="11"/>
        <v>17.5</v>
      </c>
      <c r="P21" s="10">
        <f t="shared" si="6"/>
        <v>5.2297368497553922</v>
      </c>
    </row>
    <row r="22" spans="1:16" x14ac:dyDescent="0.15">
      <c r="A22" s="3">
        <v>22</v>
      </c>
      <c r="B22" s="9">
        <v>12</v>
      </c>
      <c r="C22" s="9"/>
      <c r="D22" s="16">
        <f t="shared" si="12"/>
        <v>35</v>
      </c>
      <c r="E22" s="9"/>
      <c r="F22" s="10"/>
      <c r="G22" s="10">
        <f t="shared" si="2"/>
        <v>35</v>
      </c>
      <c r="H22" s="10">
        <f t="shared" si="3"/>
        <v>17.5</v>
      </c>
      <c r="I22" s="10">
        <f t="shared" si="4"/>
        <v>17.5</v>
      </c>
      <c r="J22" s="10"/>
      <c r="K22" s="10"/>
      <c r="L22" s="10">
        <f t="shared" si="13"/>
        <v>17.5</v>
      </c>
      <c r="M22" s="10">
        <f t="shared" si="10"/>
        <v>5.5760393099312395</v>
      </c>
      <c r="N22" s="10">
        <f t="shared" si="0"/>
        <v>4.6858856293024163</v>
      </c>
      <c r="O22" s="10">
        <f t="shared" si="11"/>
        <v>17.5</v>
      </c>
      <c r="P22" s="10">
        <f t="shared" si="6"/>
        <v>4.6858968722638066</v>
      </c>
    </row>
    <row r="23" spans="1:16" x14ac:dyDescent="0.15">
      <c r="A23" s="9">
        <v>23</v>
      </c>
      <c r="B23" s="9">
        <v>13</v>
      </c>
      <c r="C23" s="9"/>
      <c r="D23" s="16">
        <f t="shared" si="12"/>
        <v>35</v>
      </c>
      <c r="E23" s="9"/>
      <c r="F23" s="10"/>
      <c r="G23" s="10">
        <f t="shared" si="2"/>
        <v>35</v>
      </c>
      <c r="H23" s="10">
        <f t="shared" si="3"/>
        <v>17.5</v>
      </c>
      <c r="I23" s="10">
        <f t="shared" si="4"/>
        <v>17.5</v>
      </c>
      <c r="J23" s="10"/>
      <c r="K23" s="10"/>
      <c r="L23" s="10">
        <f t="shared" si="13"/>
        <v>17.5</v>
      </c>
      <c r="M23" s="10">
        <f t="shared" si="10"/>
        <v>5.0691266453920356</v>
      </c>
      <c r="N23" s="10">
        <f t="shared" si="0"/>
        <v>4.1985998635642678</v>
      </c>
      <c r="O23" s="10">
        <f t="shared" si="11"/>
        <v>17.5</v>
      </c>
      <c r="P23" s="10">
        <f t="shared" si="6"/>
        <v>4.1986107768536653</v>
      </c>
    </row>
    <row r="24" spans="1:16" x14ac:dyDescent="0.15">
      <c r="A24" s="3">
        <v>24</v>
      </c>
      <c r="B24" s="9">
        <v>14</v>
      </c>
      <c r="C24" s="9"/>
      <c r="D24" s="16">
        <f t="shared" si="12"/>
        <v>35</v>
      </c>
      <c r="E24" s="9"/>
      <c r="F24" s="10"/>
      <c r="G24" s="10">
        <f t="shared" si="2"/>
        <v>35</v>
      </c>
      <c r="H24" s="10">
        <f t="shared" si="3"/>
        <v>17.5</v>
      </c>
      <c r="I24" s="10">
        <f t="shared" si="4"/>
        <v>17.5</v>
      </c>
      <c r="J24" s="10"/>
      <c r="K24" s="10"/>
      <c r="L24" s="10">
        <f t="shared" si="13"/>
        <v>17.5</v>
      </c>
      <c r="M24" s="10">
        <f t="shared" si="10"/>
        <v>4.6082969503563955</v>
      </c>
      <c r="N24" s="10">
        <f t="shared" si="0"/>
        <v>3.7619869985913836</v>
      </c>
      <c r="O24" s="10">
        <f t="shared" si="11"/>
        <v>17.5</v>
      </c>
      <c r="P24" s="10">
        <f t="shared" si="6"/>
        <v>3.761997529193446</v>
      </c>
    </row>
    <row r="25" spans="1:16" x14ac:dyDescent="0.15">
      <c r="A25" s="9">
        <v>25</v>
      </c>
      <c r="B25" s="9">
        <v>15</v>
      </c>
      <c r="C25" s="15">
        <f>-C10</f>
        <v>-10</v>
      </c>
      <c r="D25" s="16">
        <f>$E$3*$D$3-C25</f>
        <v>45</v>
      </c>
      <c r="E25" s="9"/>
      <c r="F25" s="10"/>
      <c r="G25" s="10">
        <f t="shared" si="2"/>
        <v>45</v>
      </c>
      <c r="H25" s="10">
        <f t="shared" si="3"/>
        <v>22.5</v>
      </c>
      <c r="I25" s="10">
        <f t="shared" si="4"/>
        <v>22.5</v>
      </c>
      <c r="J25" s="10"/>
      <c r="K25" s="10"/>
      <c r="L25" s="10">
        <f t="shared" si="13"/>
        <v>22.5</v>
      </c>
      <c r="M25" s="10">
        <f t="shared" si="10"/>
        <v>5.3863211108061764</v>
      </c>
      <c r="N25" s="10">
        <f t="shared" si="0"/>
        <v>4.3338568549103433</v>
      </c>
      <c r="O25" s="10">
        <f t="shared" si="11"/>
        <v>22.5</v>
      </c>
      <c r="P25" s="10">
        <f t="shared" si="6"/>
        <v>4.3338698528267887</v>
      </c>
    </row>
    <row r="26" spans="1:16" x14ac:dyDescent="0.15">
      <c r="A26" s="9">
        <v>26</v>
      </c>
      <c r="B26" s="9"/>
      <c r="C26" s="9"/>
      <c r="D26" s="36" t="s">
        <v>53</v>
      </c>
      <c r="E26" s="36"/>
      <c r="F26" s="10">
        <f>F10/((1-(1+K3)^-8)/$K$3)</f>
        <v>0</v>
      </c>
      <c r="G26" s="9"/>
      <c r="H26" s="9"/>
      <c r="I26" s="9"/>
      <c r="J26" s="10"/>
      <c r="K26" s="10"/>
      <c r="L26" s="10">
        <f>SUM(L6:L25)</f>
        <v>192</v>
      </c>
      <c r="M26" s="10">
        <f>SUM(M6:M25)</f>
        <v>17.935721312668466</v>
      </c>
      <c r="N26" s="10">
        <f>SUM(N6:N25)</f>
        <v>-2.3187604818541985E-4</v>
      </c>
      <c r="O26" s="10">
        <f t="shared" si="11"/>
        <v>192</v>
      </c>
      <c r="P26" s="10">
        <f>SUM(P6:P25)</f>
        <v>6.007420292775123E-6</v>
      </c>
    </row>
    <row r="27" spans="1:16" x14ac:dyDescent="0.15">
      <c r="A27" s="19"/>
      <c r="B27" s="19"/>
      <c r="C27" s="19"/>
      <c r="D27" s="20"/>
      <c r="E27" s="20"/>
      <c r="F27" s="21"/>
      <c r="G27" s="19"/>
      <c r="H27" s="19"/>
      <c r="I27" s="19"/>
      <c r="J27" s="21"/>
      <c r="K27" s="21"/>
      <c r="L27" s="21"/>
      <c r="M27" s="21"/>
      <c r="N27" s="21"/>
      <c r="O27" s="21"/>
      <c r="P27" s="21"/>
    </row>
    <row r="28" spans="1:16" x14ac:dyDescent="0.15">
      <c r="D28" s="22"/>
      <c r="E28" s="23" t="str">
        <f>E2</f>
        <v>粗収係数</v>
      </c>
      <c r="F28" s="24" t="str">
        <f>J2</f>
        <v>自資利率</v>
      </c>
      <c r="G28" s="23" t="s">
        <v>54</v>
      </c>
      <c r="H28" s="23" t="s">
        <v>55</v>
      </c>
    </row>
    <row r="29" spans="1:16" x14ac:dyDescent="0.15">
      <c r="D29" s="26"/>
      <c r="E29" s="25">
        <f>E3</f>
        <v>1</v>
      </c>
      <c r="F29" s="25">
        <f>I3</f>
        <v>1</v>
      </c>
      <c r="G29" s="27">
        <f>N5</f>
        <v>0.11605911055417459</v>
      </c>
      <c r="H29" s="27">
        <f>P5</f>
        <v>0.11605888740544353</v>
      </c>
    </row>
  </sheetData>
  <mergeCells count="5">
    <mergeCell ref="B2:C2"/>
    <mergeCell ref="N2:N3"/>
    <mergeCell ref="O2:P3"/>
    <mergeCell ref="B3:C3"/>
    <mergeCell ref="D26:E26"/>
  </mergeCells>
  <phoneticPr fontId="1"/>
  <pageMargins left="0.75" right="0.75" top="1" bottom="1" header="0.51200000000000001" footer="0.51200000000000001"/>
  <pageSetup paperSize="9" scale="119" orientation="landscape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Formulas="1" zoomScale="65" workbookViewId="0">
      <selection activeCell="Q40" sqref="Q40"/>
    </sheetView>
  </sheetViews>
  <sheetFormatPr defaultRowHeight="13.5" x14ac:dyDescent="0.15"/>
  <cols>
    <col min="1" max="1" width="2.125" customWidth="1"/>
    <col min="2" max="2" width="1.875" customWidth="1"/>
    <col min="3" max="3" width="5.625" customWidth="1"/>
    <col min="4" max="4" width="7.625" customWidth="1"/>
    <col min="5" max="5" width="6.125" customWidth="1"/>
    <col min="6" max="6" width="14" customWidth="1"/>
    <col min="7" max="7" width="7.125" customWidth="1"/>
    <col min="8" max="8" width="10.75" customWidth="1"/>
    <col min="9" max="9" width="9.125" customWidth="1"/>
    <col min="10" max="10" width="8.75" customWidth="1"/>
    <col min="11" max="11" width="6" customWidth="1"/>
    <col min="12" max="12" width="7.125" customWidth="1"/>
    <col min="13" max="13" width="11.25" customWidth="1"/>
    <col min="14" max="14" width="10.5" customWidth="1"/>
    <col min="15" max="15" width="8.625" customWidth="1"/>
    <col min="16" max="16" width="9.375" style="25" customWidth="1"/>
  </cols>
  <sheetData>
    <row r="1" spans="1:16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2" t="s">
        <v>15</v>
      </c>
    </row>
    <row r="2" spans="1:16" x14ac:dyDescent="0.15">
      <c r="A2" s="3">
        <v>2</v>
      </c>
      <c r="B2" s="29" t="s">
        <v>16</v>
      </c>
      <c r="C2" s="29"/>
      <c r="D2" s="4">
        <v>100</v>
      </c>
      <c r="E2" s="5" t="s">
        <v>17</v>
      </c>
      <c r="F2" s="6" t="s">
        <v>18</v>
      </c>
      <c r="G2" s="6" t="s">
        <v>19</v>
      </c>
      <c r="H2" s="6" t="s">
        <v>20</v>
      </c>
      <c r="I2" s="7" t="s">
        <v>21</v>
      </c>
      <c r="J2" s="8" t="s">
        <v>22</v>
      </c>
      <c r="K2" s="6" t="s">
        <v>23</v>
      </c>
      <c r="L2" s="8" t="s">
        <v>24</v>
      </c>
      <c r="M2" s="6" t="s">
        <v>25</v>
      </c>
      <c r="N2" s="30" t="s">
        <v>26</v>
      </c>
      <c r="O2" s="32" t="s">
        <v>27</v>
      </c>
      <c r="P2" s="33"/>
    </row>
    <row r="3" spans="1:16" x14ac:dyDescent="0.15">
      <c r="A3" s="9">
        <v>3</v>
      </c>
      <c r="B3" s="29" t="s">
        <v>28</v>
      </c>
      <c r="C3" s="29"/>
      <c r="D3" s="9">
        <v>35</v>
      </c>
      <c r="E3" s="10">
        <v>1</v>
      </c>
      <c r="F3" s="10">
        <v>0.7</v>
      </c>
      <c r="G3" s="10">
        <v>0.8</v>
      </c>
      <c r="H3" s="10">
        <v>0.9</v>
      </c>
      <c r="I3" s="9">
        <v>1</v>
      </c>
      <c r="J3" s="11">
        <v>0.1</v>
      </c>
      <c r="K3" s="9">
        <v>0.08</v>
      </c>
      <c r="L3" s="9">
        <f>I3*J3+(1-I3)*K3</f>
        <v>0.1</v>
      </c>
      <c r="M3" s="10">
        <v>0.5</v>
      </c>
      <c r="N3" s="31"/>
      <c r="O3" s="34"/>
      <c r="P3" s="35"/>
    </row>
    <row r="4" spans="1:16" x14ac:dyDescent="0.15">
      <c r="A4" s="3">
        <v>4</v>
      </c>
      <c r="B4" s="6" t="s">
        <v>29</v>
      </c>
      <c r="C4" s="6" t="s">
        <v>30</v>
      </c>
      <c r="D4" s="6" t="s">
        <v>31</v>
      </c>
      <c r="E4" s="6" t="s">
        <v>32</v>
      </c>
      <c r="F4" s="6" t="s">
        <v>33</v>
      </c>
      <c r="G4" s="7" t="s">
        <v>34</v>
      </c>
      <c r="H4" s="6" t="s">
        <v>25</v>
      </c>
      <c r="I4" s="7" t="s">
        <v>35</v>
      </c>
      <c r="J4" s="6" t="s">
        <v>36</v>
      </c>
      <c r="K4" s="6" t="s">
        <v>37</v>
      </c>
      <c r="L4" s="7" t="s">
        <v>38</v>
      </c>
      <c r="M4" s="7" t="s">
        <v>39</v>
      </c>
      <c r="N4" s="7" t="s">
        <v>40</v>
      </c>
      <c r="O4" s="8" t="s">
        <v>39</v>
      </c>
      <c r="P4" s="12" t="s">
        <v>40</v>
      </c>
    </row>
    <row r="5" spans="1:16" x14ac:dyDescent="0.15">
      <c r="A5" s="9">
        <v>5</v>
      </c>
      <c r="B5" s="6" t="s">
        <v>41</v>
      </c>
      <c r="C5" s="6" t="s">
        <v>42</v>
      </c>
      <c r="D5" s="6" t="s">
        <v>43</v>
      </c>
      <c r="E5" s="6" t="s">
        <v>44</v>
      </c>
      <c r="F5" s="6" t="s">
        <v>45</v>
      </c>
      <c r="G5" s="6" t="s">
        <v>46</v>
      </c>
      <c r="H5" s="6" t="s">
        <v>47</v>
      </c>
      <c r="I5" s="6" t="s">
        <v>48</v>
      </c>
      <c r="J5" s="6" t="s">
        <v>49</v>
      </c>
      <c r="K5" s="6" t="s">
        <v>50</v>
      </c>
      <c r="L5" s="6" t="s">
        <v>51</v>
      </c>
      <c r="M5" s="2">
        <f>M26</f>
        <v>17.935721312668466</v>
      </c>
      <c r="N5" s="13">
        <v>0.11605911055417459</v>
      </c>
      <c r="O5" s="10">
        <f>O26</f>
        <v>192</v>
      </c>
      <c r="P5" s="14">
        <v>0.11605888740544353</v>
      </c>
    </row>
    <row r="6" spans="1:16" x14ac:dyDescent="0.15">
      <c r="A6" s="3">
        <v>6</v>
      </c>
      <c r="B6" s="15">
        <v>-4</v>
      </c>
      <c r="C6" s="9">
        <f>$D$2*0.15</f>
        <v>15</v>
      </c>
      <c r="D6" s="16"/>
      <c r="E6" s="9"/>
      <c r="F6" s="10">
        <f>(1-$I$3)*$C$6/(1+$K$3)^$B$6</f>
        <v>0</v>
      </c>
      <c r="G6" s="9"/>
      <c r="H6" s="9"/>
      <c r="I6" s="9"/>
      <c r="J6" s="10"/>
      <c r="K6" s="10"/>
      <c r="L6" s="10">
        <f>-C6</f>
        <v>-15</v>
      </c>
      <c r="M6" s="10">
        <f>$I$3*L6/(1+$L$3)^B6</f>
        <v>-21.961500000000004</v>
      </c>
      <c r="N6" s="10">
        <f>$I$3*L6/(1+$N$5)^B6</f>
        <v>-23.272339678744732</v>
      </c>
      <c r="O6" s="10">
        <f>-C6/(1+$L$3)^B6</f>
        <v>-21.961500000000004</v>
      </c>
      <c r="P6" s="10">
        <f>L6/(1+$P$5)^B6</f>
        <v>-23.27232106614094</v>
      </c>
    </row>
    <row r="7" spans="1:16" x14ac:dyDescent="0.15">
      <c r="A7" s="9">
        <v>7</v>
      </c>
      <c r="B7" s="15">
        <v>-3</v>
      </c>
      <c r="C7" s="9">
        <f>$D$2*0.35</f>
        <v>35</v>
      </c>
      <c r="D7" s="16"/>
      <c r="E7" s="9"/>
      <c r="F7" s="10">
        <f>(1-$I$3)*$C$7/(1+$K$3)^$B$7</f>
        <v>0</v>
      </c>
      <c r="G7" s="9"/>
      <c r="H7" s="9"/>
      <c r="I7" s="9"/>
      <c r="J7" s="10"/>
      <c r="K7" s="10"/>
      <c r="L7" s="10">
        <f>-C7</f>
        <v>-35</v>
      </c>
      <c r="M7" s="10">
        <f>$I$3*L7/(1+$L$3)^B7</f>
        <v>-46.585000000000015</v>
      </c>
      <c r="N7" s="10">
        <f>$I$3*L7/(1+$N$5)^B7</f>
        <v>-48.655241826848709</v>
      </c>
      <c r="O7" s="10">
        <f>-C7/(1+$L$3)^B7</f>
        <v>-46.585000000000015</v>
      </c>
      <c r="P7" s="10">
        <f>L7/(1+$P$5)^B7</f>
        <v>-48.655212641960922</v>
      </c>
    </row>
    <row r="8" spans="1:16" x14ac:dyDescent="0.15">
      <c r="A8" s="3">
        <v>8</v>
      </c>
      <c r="B8" s="15">
        <v>-2</v>
      </c>
      <c r="C8" s="9">
        <f>$D$2*0.35</f>
        <v>35</v>
      </c>
      <c r="D8" s="16"/>
      <c r="E8" s="9"/>
      <c r="F8" s="10">
        <f>(1-$I$3)*$C$8/(1+$K$3)^$B$8</f>
        <v>0</v>
      </c>
      <c r="G8" s="9"/>
      <c r="H8" s="9"/>
      <c r="I8" s="9"/>
      <c r="J8" s="10"/>
      <c r="K8" s="10"/>
      <c r="L8" s="10">
        <f>-C8</f>
        <v>-35</v>
      </c>
      <c r="M8" s="10">
        <f>$I$3*L8/(1+$L$3)^B8</f>
        <v>-42.35</v>
      </c>
      <c r="N8" s="10">
        <f>$I$3*L8/(1+$N$5)^B8</f>
        <v>-43.595577838784138</v>
      </c>
      <c r="O8" s="10">
        <f>-C8/(1+$L$3)^B8</f>
        <v>-42.35</v>
      </c>
      <c r="P8" s="10">
        <f>L8/(1+$P$5)^B8</f>
        <v>-43.595560405483681</v>
      </c>
    </row>
    <row r="9" spans="1:16" x14ac:dyDescent="0.15">
      <c r="A9" s="9">
        <v>9</v>
      </c>
      <c r="B9" s="15">
        <v>-1</v>
      </c>
      <c r="C9" s="9">
        <f>$D$2*0.15</f>
        <v>15</v>
      </c>
      <c r="D9" s="16"/>
      <c r="E9" s="9"/>
      <c r="F9" s="10">
        <f>(1-$I$3)*$C$9/(1+$K$3)^$B$9</f>
        <v>0</v>
      </c>
      <c r="G9" s="9"/>
      <c r="H9" s="9"/>
      <c r="I9" s="9"/>
      <c r="J9" s="10"/>
      <c r="K9" s="10"/>
      <c r="L9" s="10">
        <f>-C9</f>
        <v>-15</v>
      </c>
      <c r="M9" s="10">
        <f>$I$3*L9/(1+$L$3)^B9</f>
        <v>-16.5</v>
      </c>
      <c r="N9" s="10">
        <f>$I$3*L9/(1+$N$5)^B9</f>
        <v>-16.740886658312618</v>
      </c>
      <c r="O9" s="10">
        <f>-C9/(1+$L$3)^B9</f>
        <v>-16.5</v>
      </c>
      <c r="P9" s="10">
        <f>L9/(1+$P$5)^B9</f>
        <v>-16.740883311081653</v>
      </c>
    </row>
    <row r="10" spans="1:16" x14ac:dyDescent="0.15">
      <c r="A10" s="3">
        <v>10</v>
      </c>
      <c r="B10" s="9">
        <v>0</v>
      </c>
      <c r="C10" s="9">
        <f>$D$2*0.1</f>
        <v>10</v>
      </c>
      <c r="D10" s="16"/>
      <c r="E10" s="28" t="s">
        <v>52</v>
      </c>
      <c r="F10" s="10">
        <f>SUM(F6:F9)</f>
        <v>0</v>
      </c>
      <c r="G10" s="9"/>
      <c r="H10" s="9"/>
      <c r="I10" s="9"/>
      <c r="J10" s="10">
        <f>F10</f>
        <v>0</v>
      </c>
      <c r="K10" s="10"/>
      <c r="L10" s="10">
        <f>-C10</f>
        <v>-10</v>
      </c>
      <c r="M10" s="10">
        <f>$I$3*L10/(1+$L$3)^B10</f>
        <v>-10</v>
      </c>
      <c r="N10" s="10">
        <f t="shared" ref="N10:N25" si="0">L10/(1+$N$5)^B10</f>
        <v>-10</v>
      </c>
      <c r="O10" s="10">
        <f>L10</f>
        <v>-10</v>
      </c>
      <c r="P10" s="10">
        <f>L10</f>
        <v>-10</v>
      </c>
    </row>
    <row r="11" spans="1:16" x14ac:dyDescent="0.15">
      <c r="A11" s="9">
        <v>11</v>
      </c>
      <c r="B11" s="9">
        <v>1</v>
      </c>
      <c r="C11" s="9"/>
      <c r="D11" s="16">
        <f>$E$3*D3*F3</f>
        <v>24.5</v>
      </c>
      <c r="E11" s="9">
        <f t="shared" ref="E11:E18" si="1">$D$2*0.9/8</f>
        <v>11.25</v>
      </c>
      <c r="F11" s="10">
        <f>SUM(F6:F9)*$K$3</f>
        <v>0</v>
      </c>
      <c r="G11" s="10">
        <f t="shared" ref="G11:G25" si="2">D11-E11-F11</f>
        <v>13.25</v>
      </c>
      <c r="H11" s="10">
        <f t="shared" ref="H11:H25" si="3">IF(G11&gt;0,G11*$M$3,0)</f>
        <v>6.625</v>
      </c>
      <c r="I11" s="10">
        <f t="shared" ref="I11:I25" si="4">D11-E11-F11-H11</f>
        <v>6.625</v>
      </c>
      <c r="J11" s="10">
        <f t="shared" ref="J11:J18" si="5">J10-($F$26-F11)</f>
        <v>0</v>
      </c>
      <c r="K11" s="10">
        <f>$F$26-F11</f>
        <v>0</v>
      </c>
      <c r="L11" s="10">
        <f>I11+E11-K11</f>
        <v>17.875</v>
      </c>
      <c r="M11" s="10">
        <f>L11/(1+$L$3)^B11</f>
        <v>16.25</v>
      </c>
      <c r="N11" s="10">
        <f t="shared" si="0"/>
        <v>16.016176769637443</v>
      </c>
      <c r="O11" s="10">
        <f>L11</f>
        <v>17.875</v>
      </c>
      <c r="P11" s="10">
        <f t="shared" ref="P11:P25" si="6">L11/(1+$P$5)^B11</f>
        <v>16.01617997196804</v>
      </c>
    </row>
    <row r="12" spans="1:16" x14ac:dyDescent="0.15">
      <c r="A12" s="3">
        <v>12</v>
      </c>
      <c r="B12" s="9">
        <v>2</v>
      </c>
      <c r="C12" s="9"/>
      <c r="D12" s="16">
        <f>$E$3*D3*G3</f>
        <v>28</v>
      </c>
      <c r="E12" s="9">
        <f t="shared" si="1"/>
        <v>11.25</v>
      </c>
      <c r="F12" s="10">
        <f t="shared" ref="F12:F18" si="7">J11*$K$3</f>
        <v>0</v>
      </c>
      <c r="G12" s="10">
        <f t="shared" si="2"/>
        <v>16.75</v>
      </c>
      <c r="H12" s="10">
        <f t="shared" si="3"/>
        <v>8.375</v>
      </c>
      <c r="I12" s="10">
        <f t="shared" si="4"/>
        <v>8.375</v>
      </c>
      <c r="J12" s="10">
        <f t="shared" si="5"/>
        <v>0</v>
      </c>
      <c r="K12" s="10">
        <f t="shared" ref="K12:K18" si="8">$F$26-F12</f>
        <v>0</v>
      </c>
      <c r="L12" s="10">
        <f t="shared" ref="L12:L18" si="9">I12+E12-K12</f>
        <v>19.625</v>
      </c>
      <c r="M12" s="10">
        <f t="shared" ref="M12:M25" si="10">L12/(1+$L$3)^B12</f>
        <v>16.219008264462808</v>
      </c>
      <c r="N12" s="10">
        <f t="shared" si="0"/>
        <v>15.755611785673642</v>
      </c>
      <c r="O12" s="10">
        <f t="shared" ref="O12:O27" si="11">L12</f>
        <v>19.625</v>
      </c>
      <c r="P12" s="10">
        <f t="shared" si="6"/>
        <v>15.755618086138908</v>
      </c>
    </row>
    <row r="13" spans="1:16" x14ac:dyDescent="0.15">
      <c r="A13" s="9">
        <v>13</v>
      </c>
      <c r="B13" s="9">
        <v>3</v>
      </c>
      <c r="C13" s="9"/>
      <c r="D13" s="16">
        <f>$E$3*D3*H3</f>
        <v>31.5</v>
      </c>
      <c r="E13" s="9">
        <f t="shared" si="1"/>
        <v>11.25</v>
      </c>
      <c r="F13" s="10">
        <f t="shared" si="7"/>
        <v>0</v>
      </c>
      <c r="G13" s="10">
        <f t="shared" si="2"/>
        <v>20.25</v>
      </c>
      <c r="H13" s="10">
        <f t="shared" si="3"/>
        <v>10.125</v>
      </c>
      <c r="I13" s="10">
        <f t="shared" si="4"/>
        <v>10.125</v>
      </c>
      <c r="J13" s="10">
        <f t="shared" si="5"/>
        <v>0</v>
      </c>
      <c r="K13" s="10">
        <f t="shared" si="8"/>
        <v>0</v>
      </c>
      <c r="L13" s="10">
        <f t="shared" si="9"/>
        <v>21.375</v>
      </c>
      <c r="M13" s="10">
        <f t="shared" si="10"/>
        <v>16.05935386927122</v>
      </c>
      <c r="N13" s="10">
        <f t="shared" si="0"/>
        <v>15.37604113987104</v>
      </c>
      <c r="O13" s="10">
        <f t="shared" si="11"/>
        <v>21.375</v>
      </c>
      <c r="P13" s="10">
        <f t="shared" si="6"/>
        <v>15.37605036289178</v>
      </c>
    </row>
    <row r="14" spans="1:16" x14ac:dyDescent="0.15">
      <c r="A14" s="3">
        <v>14</v>
      </c>
      <c r="B14" s="9">
        <v>4</v>
      </c>
      <c r="C14" s="9"/>
      <c r="D14" s="16">
        <f t="shared" ref="D14:D24" si="12">$E$3*$D$3</f>
        <v>35</v>
      </c>
      <c r="E14" s="9">
        <f t="shared" si="1"/>
        <v>11.25</v>
      </c>
      <c r="F14" s="10">
        <f t="shared" si="7"/>
        <v>0</v>
      </c>
      <c r="G14" s="10">
        <f t="shared" si="2"/>
        <v>23.75</v>
      </c>
      <c r="H14" s="10">
        <f t="shared" si="3"/>
        <v>11.875</v>
      </c>
      <c r="I14" s="10">
        <f t="shared" si="4"/>
        <v>11.875</v>
      </c>
      <c r="J14" s="10">
        <f t="shared" si="5"/>
        <v>0</v>
      </c>
      <c r="K14" s="10">
        <f t="shared" si="8"/>
        <v>0</v>
      </c>
      <c r="L14" s="10">
        <f t="shared" si="9"/>
        <v>23.125</v>
      </c>
      <c r="M14" s="10">
        <f t="shared" si="10"/>
        <v>15.794686155317255</v>
      </c>
      <c r="N14" s="10">
        <f t="shared" si="0"/>
        <v>14.905033391069418</v>
      </c>
      <c r="O14" s="10">
        <f t="shared" si="11"/>
        <v>23.125</v>
      </c>
      <c r="P14" s="10">
        <f t="shared" si="6"/>
        <v>14.905045311731749</v>
      </c>
    </row>
    <row r="15" spans="1:16" x14ac:dyDescent="0.15">
      <c r="A15" s="9">
        <v>15</v>
      </c>
      <c r="B15" s="9">
        <v>5</v>
      </c>
      <c r="C15" s="9"/>
      <c r="D15" s="16">
        <f t="shared" si="12"/>
        <v>35</v>
      </c>
      <c r="E15" s="9">
        <f t="shared" si="1"/>
        <v>11.25</v>
      </c>
      <c r="F15" s="10">
        <f t="shared" si="7"/>
        <v>0</v>
      </c>
      <c r="G15" s="10">
        <f t="shared" si="2"/>
        <v>23.75</v>
      </c>
      <c r="H15" s="10">
        <f t="shared" si="3"/>
        <v>11.875</v>
      </c>
      <c r="I15" s="10">
        <f t="shared" si="4"/>
        <v>11.875</v>
      </c>
      <c r="J15" s="10">
        <f t="shared" si="5"/>
        <v>0</v>
      </c>
      <c r="K15" s="10">
        <f t="shared" si="8"/>
        <v>0</v>
      </c>
      <c r="L15" s="10">
        <f t="shared" si="9"/>
        <v>23.125</v>
      </c>
      <c r="M15" s="10">
        <f t="shared" si="10"/>
        <v>14.358805595742959</v>
      </c>
      <c r="N15" s="10">
        <f t="shared" si="0"/>
        <v>13.35505731741071</v>
      </c>
      <c r="O15" s="10">
        <f t="shared" si="11"/>
        <v>23.125</v>
      </c>
      <c r="P15" s="10">
        <f t="shared" si="6"/>
        <v>13.355070668701211</v>
      </c>
    </row>
    <row r="16" spans="1:16" x14ac:dyDescent="0.15">
      <c r="A16" s="3">
        <v>16</v>
      </c>
      <c r="B16" s="9">
        <v>6</v>
      </c>
      <c r="C16" s="9"/>
      <c r="D16" s="16">
        <f t="shared" si="12"/>
        <v>35</v>
      </c>
      <c r="E16" s="9">
        <f t="shared" si="1"/>
        <v>11.25</v>
      </c>
      <c r="F16" s="10">
        <f t="shared" si="7"/>
        <v>0</v>
      </c>
      <c r="G16" s="10">
        <f t="shared" si="2"/>
        <v>23.75</v>
      </c>
      <c r="H16" s="10">
        <f t="shared" si="3"/>
        <v>11.875</v>
      </c>
      <c r="I16" s="10">
        <f t="shared" si="4"/>
        <v>11.875</v>
      </c>
      <c r="J16" s="10">
        <f t="shared" si="5"/>
        <v>0</v>
      </c>
      <c r="K16" s="10">
        <f t="shared" si="8"/>
        <v>0</v>
      </c>
      <c r="L16" s="10">
        <f t="shared" si="9"/>
        <v>23.125</v>
      </c>
      <c r="M16" s="10">
        <f t="shared" si="10"/>
        <v>13.053459632493597</v>
      </c>
      <c r="N16" s="10">
        <f t="shared" si="0"/>
        <v>11.966263427372866</v>
      </c>
      <c r="O16" s="10">
        <f t="shared" si="11"/>
        <v>23.125</v>
      </c>
      <c r="P16" s="10">
        <f t="shared" si="6"/>
        <v>11.966277782840288</v>
      </c>
    </row>
    <row r="17" spans="1:16" x14ac:dyDescent="0.15">
      <c r="A17" s="9">
        <v>17</v>
      </c>
      <c r="B17" s="9">
        <v>7</v>
      </c>
      <c r="C17" s="9"/>
      <c r="D17" s="16">
        <f t="shared" si="12"/>
        <v>35</v>
      </c>
      <c r="E17" s="9">
        <f t="shared" si="1"/>
        <v>11.25</v>
      </c>
      <c r="F17" s="10">
        <f t="shared" si="7"/>
        <v>0</v>
      </c>
      <c r="G17" s="10">
        <f t="shared" si="2"/>
        <v>23.75</v>
      </c>
      <c r="H17" s="10">
        <f t="shared" si="3"/>
        <v>11.875</v>
      </c>
      <c r="I17" s="10">
        <f t="shared" si="4"/>
        <v>11.875</v>
      </c>
      <c r="J17" s="10">
        <f t="shared" si="5"/>
        <v>0</v>
      </c>
      <c r="K17" s="10">
        <f t="shared" si="8"/>
        <v>0</v>
      </c>
      <c r="L17" s="10">
        <f t="shared" si="9"/>
        <v>23.125</v>
      </c>
      <c r="M17" s="10">
        <f t="shared" si="10"/>
        <v>11.866781484085086</v>
      </c>
      <c r="N17" s="10">
        <f t="shared" si="0"/>
        <v>10.721890367823857</v>
      </c>
      <c r="O17" s="10">
        <f t="shared" si="11"/>
        <v>23.125</v>
      </c>
      <c r="P17" s="10">
        <f t="shared" si="6"/>
        <v>10.721905374239597</v>
      </c>
    </row>
    <row r="18" spans="1:16" x14ac:dyDescent="0.15">
      <c r="A18" s="3">
        <v>18</v>
      </c>
      <c r="B18" s="9">
        <v>8</v>
      </c>
      <c r="C18" s="9"/>
      <c r="D18" s="16">
        <f t="shared" si="12"/>
        <v>35</v>
      </c>
      <c r="E18" s="9">
        <f t="shared" si="1"/>
        <v>11.25</v>
      </c>
      <c r="F18" s="10">
        <f t="shared" si="7"/>
        <v>0</v>
      </c>
      <c r="G18" s="10">
        <f t="shared" si="2"/>
        <v>23.75</v>
      </c>
      <c r="H18" s="10">
        <f t="shared" si="3"/>
        <v>11.875</v>
      </c>
      <c r="I18" s="10">
        <f t="shared" si="4"/>
        <v>11.875</v>
      </c>
      <c r="J18" s="10">
        <f t="shared" si="5"/>
        <v>0</v>
      </c>
      <c r="K18" s="10">
        <f t="shared" si="8"/>
        <v>0</v>
      </c>
      <c r="L18" s="10">
        <f t="shared" si="9"/>
        <v>23.125</v>
      </c>
      <c r="M18" s="10">
        <f t="shared" si="10"/>
        <v>10.787983167350079</v>
      </c>
      <c r="N18" s="10">
        <f t="shared" si="0"/>
        <v>9.6069198006008367</v>
      </c>
      <c r="O18" s="10">
        <f t="shared" si="11"/>
        <v>23.125</v>
      </c>
      <c r="P18" s="10">
        <f t="shared" si="6"/>
        <v>9.6069351673416907</v>
      </c>
    </row>
    <row r="19" spans="1:16" x14ac:dyDescent="0.15">
      <c r="A19" s="9">
        <v>19</v>
      </c>
      <c r="B19" s="9">
        <v>9</v>
      </c>
      <c r="C19" s="9"/>
      <c r="D19" s="16">
        <f t="shared" si="12"/>
        <v>35</v>
      </c>
      <c r="E19" s="9"/>
      <c r="F19" s="10"/>
      <c r="G19" s="10">
        <f t="shared" si="2"/>
        <v>35</v>
      </c>
      <c r="H19" s="10">
        <f t="shared" si="3"/>
        <v>17.5</v>
      </c>
      <c r="I19" s="10">
        <f t="shared" si="4"/>
        <v>17.5</v>
      </c>
      <c r="J19" s="10"/>
      <c r="K19" s="10"/>
      <c r="L19" s="10">
        <f t="shared" ref="L19:L25" si="13">I19+E19</f>
        <v>17.5</v>
      </c>
      <c r="M19" s="10">
        <f t="shared" si="10"/>
        <v>7.4217083215184818</v>
      </c>
      <c r="N19" s="10">
        <f t="shared" si="0"/>
        <v>6.5140828133332631</v>
      </c>
      <c r="O19" s="10">
        <f t="shared" si="11"/>
        <v>17.5</v>
      </c>
      <c r="P19" s="10">
        <f t="shared" si="6"/>
        <v>6.5140945353798614</v>
      </c>
    </row>
    <row r="20" spans="1:16" x14ac:dyDescent="0.15">
      <c r="A20" s="3">
        <v>20</v>
      </c>
      <c r="B20" s="9">
        <v>10</v>
      </c>
      <c r="C20" s="9"/>
      <c r="D20" s="16">
        <f t="shared" si="12"/>
        <v>35</v>
      </c>
      <c r="E20" s="9"/>
      <c r="F20" s="10"/>
      <c r="G20" s="10">
        <f t="shared" si="2"/>
        <v>35</v>
      </c>
      <c r="H20" s="10">
        <f t="shared" si="3"/>
        <v>17.5</v>
      </c>
      <c r="I20" s="10">
        <f t="shared" si="4"/>
        <v>17.5</v>
      </c>
      <c r="J20" s="10"/>
      <c r="K20" s="10"/>
      <c r="L20" s="10">
        <f t="shared" si="13"/>
        <v>17.5</v>
      </c>
      <c r="M20" s="10">
        <f t="shared" si="10"/>
        <v>6.7470075650168004</v>
      </c>
      <c r="N20" s="10">
        <f t="shared" si="0"/>
        <v>5.8366826198826702</v>
      </c>
      <c r="O20" s="10">
        <f t="shared" si="11"/>
        <v>17.5</v>
      </c>
      <c r="P20" s="10">
        <f t="shared" si="6"/>
        <v>5.8366942899612528</v>
      </c>
    </row>
    <row r="21" spans="1:16" x14ac:dyDescent="0.15">
      <c r="A21" s="9">
        <v>21</v>
      </c>
      <c r="B21" s="9">
        <v>11</v>
      </c>
      <c r="C21" s="9"/>
      <c r="D21" s="16">
        <f t="shared" si="12"/>
        <v>35</v>
      </c>
      <c r="E21" s="9"/>
      <c r="F21" s="10"/>
      <c r="G21" s="10">
        <f t="shared" si="2"/>
        <v>35</v>
      </c>
      <c r="H21" s="10">
        <f t="shared" si="3"/>
        <v>17.5</v>
      </c>
      <c r="I21" s="10">
        <f t="shared" si="4"/>
        <v>17.5</v>
      </c>
      <c r="J21" s="10"/>
      <c r="K21" s="10"/>
      <c r="L21" s="10">
        <f t="shared" si="13"/>
        <v>17.5</v>
      </c>
      <c r="M21" s="10">
        <f t="shared" si="10"/>
        <v>6.1336432409243633</v>
      </c>
      <c r="N21" s="10">
        <f t="shared" si="0"/>
        <v>5.2297253475978431</v>
      </c>
      <c r="O21" s="10">
        <f t="shared" si="11"/>
        <v>17.5</v>
      </c>
      <c r="P21" s="10">
        <f t="shared" si="6"/>
        <v>5.2297368497553922</v>
      </c>
    </row>
    <row r="22" spans="1:16" x14ac:dyDescent="0.15">
      <c r="A22" s="3">
        <v>22</v>
      </c>
      <c r="B22" s="9">
        <v>12</v>
      </c>
      <c r="C22" s="9"/>
      <c r="D22" s="16">
        <f t="shared" si="12"/>
        <v>35</v>
      </c>
      <c r="E22" s="9"/>
      <c r="F22" s="10"/>
      <c r="G22" s="10">
        <f t="shared" si="2"/>
        <v>35</v>
      </c>
      <c r="H22" s="10">
        <f t="shared" si="3"/>
        <v>17.5</v>
      </c>
      <c r="I22" s="10">
        <f t="shared" si="4"/>
        <v>17.5</v>
      </c>
      <c r="J22" s="10"/>
      <c r="K22" s="10"/>
      <c r="L22" s="10">
        <f t="shared" si="13"/>
        <v>17.5</v>
      </c>
      <c r="M22" s="10">
        <f t="shared" si="10"/>
        <v>5.5760393099312395</v>
      </c>
      <c r="N22" s="10">
        <f t="shared" si="0"/>
        <v>4.6858856293024163</v>
      </c>
      <c r="O22" s="10">
        <f t="shared" si="11"/>
        <v>17.5</v>
      </c>
      <c r="P22" s="10">
        <f t="shared" si="6"/>
        <v>4.6858968722638066</v>
      </c>
    </row>
    <row r="23" spans="1:16" x14ac:dyDescent="0.15">
      <c r="A23" s="9">
        <v>23</v>
      </c>
      <c r="B23" s="9">
        <v>13</v>
      </c>
      <c r="C23" s="9"/>
      <c r="D23" s="16">
        <f t="shared" si="12"/>
        <v>35</v>
      </c>
      <c r="E23" s="9"/>
      <c r="F23" s="10"/>
      <c r="G23" s="10">
        <f t="shared" si="2"/>
        <v>35</v>
      </c>
      <c r="H23" s="10">
        <f t="shared" si="3"/>
        <v>17.5</v>
      </c>
      <c r="I23" s="10">
        <f t="shared" si="4"/>
        <v>17.5</v>
      </c>
      <c r="J23" s="10"/>
      <c r="K23" s="10"/>
      <c r="L23" s="10">
        <f t="shared" si="13"/>
        <v>17.5</v>
      </c>
      <c r="M23" s="10">
        <f t="shared" si="10"/>
        <v>5.0691266453920356</v>
      </c>
      <c r="N23" s="10">
        <f t="shared" si="0"/>
        <v>4.1985998635642678</v>
      </c>
      <c r="O23" s="10">
        <f t="shared" si="11"/>
        <v>17.5</v>
      </c>
      <c r="P23" s="10">
        <f t="shared" si="6"/>
        <v>4.1986107768536653</v>
      </c>
    </row>
    <row r="24" spans="1:16" x14ac:dyDescent="0.15">
      <c r="A24" s="3">
        <v>24</v>
      </c>
      <c r="B24" s="9">
        <v>14</v>
      </c>
      <c r="C24" s="9"/>
      <c r="D24" s="16">
        <f t="shared" si="12"/>
        <v>35</v>
      </c>
      <c r="E24" s="9"/>
      <c r="F24" s="10"/>
      <c r="G24" s="10">
        <f t="shared" si="2"/>
        <v>35</v>
      </c>
      <c r="H24" s="10">
        <f t="shared" si="3"/>
        <v>17.5</v>
      </c>
      <c r="I24" s="10">
        <f t="shared" si="4"/>
        <v>17.5</v>
      </c>
      <c r="J24" s="10"/>
      <c r="K24" s="10"/>
      <c r="L24" s="10">
        <f t="shared" si="13"/>
        <v>17.5</v>
      </c>
      <c r="M24" s="10">
        <f t="shared" si="10"/>
        <v>4.6082969503563955</v>
      </c>
      <c r="N24" s="10">
        <f t="shared" si="0"/>
        <v>3.7619869985913836</v>
      </c>
      <c r="O24" s="10">
        <f t="shared" si="11"/>
        <v>17.5</v>
      </c>
      <c r="P24" s="10">
        <f t="shared" si="6"/>
        <v>3.761997529193446</v>
      </c>
    </row>
    <row r="25" spans="1:16" x14ac:dyDescent="0.15">
      <c r="A25" s="9">
        <v>25</v>
      </c>
      <c r="B25" s="9">
        <v>15</v>
      </c>
      <c r="C25" s="15">
        <f>-C10</f>
        <v>-10</v>
      </c>
      <c r="D25" s="16">
        <f>$E$3*$D$3-C25</f>
        <v>45</v>
      </c>
      <c r="E25" s="9"/>
      <c r="F25" s="10"/>
      <c r="G25" s="10">
        <f t="shared" si="2"/>
        <v>45</v>
      </c>
      <c r="H25" s="10">
        <f t="shared" si="3"/>
        <v>22.5</v>
      </c>
      <c r="I25" s="10">
        <f t="shared" si="4"/>
        <v>22.5</v>
      </c>
      <c r="J25" s="10"/>
      <c r="K25" s="10"/>
      <c r="L25" s="10">
        <f t="shared" si="13"/>
        <v>22.5</v>
      </c>
      <c r="M25" s="10">
        <f t="shared" si="10"/>
        <v>5.3863211108061764</v>
      </c>
      <c r="N25" s="10">
        <f t="shared" si="0"/>
        <v>4.3338568549103433</v>
      </c>
      <c r="O25" s="10">
        <f t="shared" si="11"/>
        <v>22.5</v>
      </c>
      <c r="P25" s="10">
        <f t="shared" si="6"/>
        <v>4.3338698528267887</v>
      </c>
    </row>
    <row r="26" spans="1:16" x14ac:dyDescent="0.15">
      <c r="A26" s="9">
        <v>26</v>
      </c>
      <c r="B26" s="9"/>
      <c r="C26" s="9"/>
      <c r="D26" s="36" t="s">
        <v>53</v>
      </c>
      <c r="E26" s="36"/>
      <c r="F26" s="10">
        <f>F10/((1-(1+K3)^-8)/$K$3)</f>
        <v>0</v>
      </c>
      <c r="G26" s="9"/>
      <c r="H26" s="9"/>
      <c r="I26" s="9"/>
      <c r="J26" s="10"/>
      <c r="K26" s="10"/>
      <c r="L26" s="10">
        <f>SUM(L6:L25)</f>
        <v>192</v>
      </c>
      <c r="M26" s="10">
        <f>SUM(M6:M25)</f>
        <v>17.935721312668466</v>
      </c>
      <c r="N26" s="10">
        <f>SUM(N6:N25)</f>
        <v>-2.3187604818541985E-4</v>
      </c>
      <c r="O26" s="10">
        <f t="shared" si="11"/>
        <v>192</v>
      </c>
      <c r="P26" s="10">
        <f>SUM(P6:P25)</f>
        <v>6.007420292775123E-6</v>
      </c>
    </row>
    <row r="27" spans="1:16" x14ac:dyDescent="0.15">
      <c r="A27" s="19"/>
      <c r="B27" s="19"/>
      <c r="C27" s="19"/>
      <c r="D27" s="20"/>
      <c r="E27" s="20"/>
      <c r="F27" s="21"/>
      <c r="G27" s="19"/>
      <c r="H27" s="19"/>
      <c r="I27" s="19"/>
      <c r="J27" s="21"/>
      <c r="K27" s="21"/>
      <c r="L27" s="21"/>
      <c r="M27" s="21"/>
      <c r="N27" s="21"/>
      <c r="O27" s="21"/>
      <c r="P27" s="21"/>
    </row>
    <row r="28" spans="1:16" x14ac:dyDescent="0.15">
      <c r="D28" s="22"/>
      <c r="E28" s="23" t="str">
        <f>E2</f>
        <v>粗収係数</v>
      </c>
      <c r="F28" s="24" t="str">
        <f>J2</f>
        <v>自資利率</v>
      </c>
      <c r="G28" s="23" t="s">
        <v>54</v>
      </c>
      <c r="H28" s="23" t="s">
        <v>55</v>
      </c>
    </row>
    <row r="29" spans="1:16" x14ac:dyDescent="0.15">
      <c r="D29" s="26"/>
      <c r="E29" s="25">
        <f>E3</f>
        <v>1</v>
      </c>
      <c r="F29" s="25">
        <f>I3</f>
        <v>1</v>
      </c>
      <c r="G29" s="27">
        <f>N5</f>
        <v>0.11605911055417459</v>
      </c>
      <c r="H29" s="27">
        <f>P5</f>
        <v>0.11605888740544353</v>
      </c>
    </row>
  </sheetData>
  <mergeCells count="5">
    <mergeCell ref="B2:C2"/>
    <mergeCell ref="N2:N3"/>
    <mergeCell ref="O2:P3"/>
    <mergeCell ref="B3:C3"/>
    <mergeCell ref="D26:E26"/>
  </mergeCells>
  <phoneticPr fontId="1"/>
  <pageMargins left="0.75" right="0.75" top="1" bottom="1" header="0.51200000000000001" footer="0.51200000000000001"/>
  <pageSetup paperSize="9" scale="11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総資本利率</vt:lpstr>
      <vt:lpstr>自己資本利率</vt:lpstr>
      <vt:lpstr>数式モデル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小松昭英</dc:creator>
  <cp:lastModifiedBy>小松昭英</cp:lastModifiedBy>
  <cp:lastPrinted>2015-04-26T06:20:41Z</cp:lastPrinted>
  <dcterms:created xsi:type="dcterms:W3CDTF">2015-04-26T06:09:54Z</dcterms:created>
  <dcterms:modified xsi:type="dcterms:W3CDTF">2015-04-26T08:59:14Z</dcterms:modified>
</cp:coreProperties>
</file>