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672" yWindow="420" windowWidth="17076" windowHeight="15768"/>
  </bookViews>
  <sheets>
    <sheet name="例題31 非等温PBR" sheetId="2" r:id="rId1"/>
    <sheet name="Stream report" sheetId="1" r:id="rId2"/>
  </sheets>
  <calcPr calcId="162913"/>
</workbook>
</file>

<file path=xl/calcChain.xml><?xml version="1.0" encoding="utf-8"?>
<calcChain xmlns="http://schemas.openxmlformats.org/spreadsheetml/2006/main">
  <c r="Y11" i="2" l="1"/>
  <c r="X11" i="2"/>
  <c r="X12" i="2"/>
  <c r="X13" i="2"/>
  <c r="X14" i="2"/>
  <c r="X15" i="2"/>
  <c r="X16" i="2"/>
  <c r="X17" i="2"/>
  <c r="X18" i="2"/>
  <c r="X19" i="2"/>
  <c r="X20" i="2"/>
  <c r="X10" i="2"/>
  <c r="V12" i="2"/>
  <c r="V13" i="2"/>
  <c r="V14" i="2"/>
  <c r="V15" i="2"/>
  <c r="V16" i="2"/>
  <c r="V17" i="2"/>
  <c r="V18" i="2"/>
  <c r="V19" i="2"/>
  <c r="V20" i="2"/>
  <c r="V11" i="2"/>
  <c r="T6" i="2"/>
  <c r="G10" i="2"/>
  <c r="T3" i="2"/>
  <c r="T4" i="2"/>
  <c r="G8" i="2" l="1"/>
  <c r="G7" i="2"/>
  <c r="G6" i="2"/>
  <c r="G5" i="2"/>
  <c r="G9" i="2" l="1"/>
  <c r="G11" i="2" s="1"/>
  <c r="G12" i="2" s="1"/>
  <c r="C5" i="2" s="1"/>
  <c r="N20" i="2"/>
  <c r="B5" i="2" l="1"/>
  <c r="N4" i="2"/>
  <c r="O29" i="2" l="1"/>
  <c r="P32" i="2"/>
  <c r="P31" i="2"/>
  <c r="P29" i="2" l="1"/>
  <c r="O30" i="2"/>
  <c r="O25" i="2" s="1"/>
  <c r="N21" i="2" s="1"/>
  <c r="N11" i="2" s="1"/>
  <c r="N12" i="2" s="1"/>
  <c r="P24" i="2" l="1"/>
  <c r="P35" i="2" s="1"/>
  <c r="P36" i="2" s="1"/>
  <c r="P30" i="2"/>
  <c r="P26" i="2" s="1"/>
  <c r="O26" i="2"/>
  <c r="O24" i="2"/>
  <c r="O35" i="2" s="1"/>
  <c r="O36" i="2" s="1"/>
  <c r="O38" i="2" l="1"/>
  <c r="O37" i="2"/>
  <c r="P27" i="2"/>
  <c r="P28" i="2"/>
  <c r="P25" i="2"/>
  <c r="P40" i="2" l="1"/>
  <c r="P39" i="2"/>
  <c r="P37" i="2"/>
  <c r="P38" i="2"/>
  <c r="U3" i="2"/>
  <c r="U4" i="2" l="1"/>
</calcChain>
</file>

<file path=xl/comments1.xml><?xml version="1.0" encoding="utf-8"?>
<comments xmlns="http://schemas.openxmlformats.org/spreadsheetml/2006/main">
  <authors>
    <author>itolab200</author>
  </authors>
  <commentList>
    <comment ref="B5" authorId="0" shapeId="0">
      <text>
        <r>
          <rPr>
            <sz val="11"/>
            <color indexed="81"/>
            <rFont val="Arial"/>
            <family val="2"/>
          </rPr>
          <t>=G12/G3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5" authorId="0" shapeId="0">
      <text>
        <r>
          <rPr>
            <sz val="11"/>
            <color indexed="81"/>
            <rFont val="Arial"/>
            <family val="2"/>
          </rPr>
          <t>=(-G14*G15*(C3-G16)+(-G12)*(G17))/(G9*G13)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<sst xmlns="http://schemas.openxmlformats.org/spreadsheetml/2006/main" count="174" uniqueCount="140">
  <si>
    <t>b]</t>
    <phoneticPr fontId="2"/>
  </si>
  <si>
    <t>微分方程式数</t>
    <rPh sb="0" eb="2">
      <t>ビブン</t>
    </rPh>
    <rPh sb="2" eb="5">
      <t>ホウテイシキ</t>
    </rPh>
    <rPh sb="5" eb="6">
      <t>スウ</t>
    </rPh>
    <phoneticPr fontId="2"/>
  </si>
  <si>
    <t>微分方程式→</t>
    <rPh sb="0" eb="2">
      <t>ビブン</t>
    </rPh>
    <rPh sb="2" eb="5">
      <t>ホウテイシキ</t>
    </rPh>
    <phoneticPr fontId="2"/>
  </si>
  <si>
    <t>計算結果</t>
    <rPh sb="0" eb="2">
      <t>ケイサン</t>
    </rPh>
    <rPh sb="2" eb="4">
      <t>ケッカ</t>
    </rPh>
    <phoneticPr fontId="2"/>
  </si>
  <si>
    <t>←初期値</t>
    <rPh sb="1" eb="4">
      <t>ショキチ</t>
    </rPh>
    <phoneticPr fontId="2"/>
  </si>
  <si>
    <t>T=</t>
    <phoneticPr fontId="2"/>
  </si>
  <si>
    <t>J/(m2 s K)</t>
    <phoneticPr fontId="2"/>
  </si>
  <si>
    <t>伝熱係数</t>
    <rPh sb="0" eb="2">
      <t>デンネツ</t>
    </rPh>
    <rPh sb="2" eb="4">
      <t>ケイスウ</t>
    </rPh>
    <phoneticPr fontId="2"/>
  </si>
  <si>
    <t>kg/m3</t>
    <phoneticPr fontId="2"/>
  </si>
  <si>
    <t>R0=</t>
    <phoneticPr fontId="2"/>
  </si>
  <si>
    <t>m</t>
    <phoneticPr fontId="2"/>
  </si>
  <si>
    <t>入口ガス温度</t>
    <rPh sb="0" eb="2">
      <t>イリグチ</t>
    </rPh>
    <rPh sb="4" eb="6">
      <t>オンド</t>
    </rPh>
    <phoneticPr fontId="2"/>
  </si>
  <si>
    <t>L</t>
    <phoneticPr fontId="2"/>
  </si>
  <si>
    <t>m</t>
    <phoneticPr fontId="2"/>
  </si>
  <si>
    <t>kg</t>
    <phoneticPr fontId="2"/>
  </si>
  <si>
    <t>反応管半径</t>
    <rPh sb="0" eb="2">
      <t>ハンノウ</t>
    </rPh>
    <rPh sb="2" eb="3">
      <t>カン</t>
    </rPh>
    <rPh sb="3" eb="5">
      <t>ハンケイ</t>
    </rPh>
    <phoneticPr fontId="2"/>
  </si>
  <si>
    <t>xA=</t>
    <phoneticPr fontId="2"/>
  </si>
  <si>
    <t>xA'=</t>
    <phoneticPr fontId="2"/>
  </si>
  <si>
    <t>xA</t>
    <phoneticPr fontId="2"/>
  </si>
  <si>
    <t>J/mol-K</t>
    <phoneticPr fontId="2"/>
  </si>
  <si>
    <t>/m</t>
    <phoneticPr fontId="2"/>
  </si>
  <si>
    <t>触媒量W</t>
    <rPh sb="0" eb="2">
      <t>ショクバイ</t>
    </rPh>
    <rPh sb="2" eb="3">
      <t>リョウ</t>
    </rPh>
    <phoneticPr fontId="2"/>
  </si>
  <si>
    <t>元問題条件</t>
    <rPh sb="0" eb="1">
      <t>モト</t>
    </rPh>
    <rPh sb="1" eb="3">
      <t>モンダイ</t>
    </rPh>
    <rPh sb="3" eb="5">
      <t>ジョウケン</t>
    </rPh>
    <phoneticPr fontId="2"/>
  </si>
  <si>
    <t>T'=</t>
    <phoneticPr fontId="2"/>
  </si>
  <si>
    <t>化学工学会編：化学工学便覧 7版 p. 868</t>
    <rPh sb="7" eb="9">
      <t>カガク</t>
    </rPh>
    <rPh sb="9" eb="11">
      <t>コウガク</t>
    </rPh>
    <rPh sb="11" eb="13">
      <t>ビンラン</t>
    </rPh>
    <rPh sb="15" eb="16">
      <t>ハン</t>
    </rPh>
    <phoneticPr fontId="2"/>
  </si>
  <si>
    <t>反応管入口</t>
    <rPh sb="0" eb="2">
      <t>ハンオウ</t>
    </rPh>
    <rPh sb="2" eb="3">
      <t>カン</t>
    </rPh>
    <rPh sb="3" eb="5">
      <t>イリグチ</t>
    </rPh>
    <phoneticPr fontId="2"/>
  </si>
  <si>
    <t>ΣFmol</t>
    <phoneticPr fontId="2"/>
  </si>
  <si>
    <t>kmol/h</t>
    <phoneticPr fontId="2"/>
  </si>
  <si>
    <t>A CH4</t>
    <phoneticPr fontId="2"/>
  </si>
  <si>
    <t>B H2O</t>
    <phoneticPr fontId="2"/>
  </si>
  <si>
    <t>kmol/h</t>
    <phoneticPr fontId="2"/>
  </si>
  <si>
    <t>xA out</t>
    <phoneticPr fontId="2"/>
  </si>
  <si>
    <t>出口</t>
    <rPh sb="0" eb="2">
      <t>デグチ</t>
    </rPh>
    <phoneticPr fontId="2"/>
  </si>
  <si>
    <t>C H2</t>
    <phoneticPr fontId="2"/>
  </si>
  <si>
    <t>D CO</t>
    <phoneticPr fontId="2"/>
  </si>
  <si>
    <t>210本で</t>
    <rPh sb="3" eb="4">
      <t>ホン</t>
    </rPh>
    <phoneticPr fontId="2"/>
  </si>
  <si>
    <t>反応管出口でのメタン反応率0.77</t>
    <rPh sb="0" eb="2">
      <t>ハンノウ</t>
    </rPh>
    <rPh sb="2" eb="3">
      <t>カン</t>
    </rPh>
    <rPh sb="3" eb="5">
      <t>デグチ</t>
    </rPh>
    <rPh sb="10" eb="12">
      <t>ハンノウ</t>
    </rPh>
    <rPh sb="12" eb="13">
      <t>リツ</t>
    </rPh>
    <phoneticPr fontId="2"/>
  </si>
  <si>
    <t>FmolD CO</t>
    <phoneticPr fontId="2"/>
  </si>
  <si>
    <t>FmolC H2</t>
    <phoneticPr fontId="2"/>
  </si>
  <si>
    <t>FmolB H2O</t>
    <phoneticPr fontId="2"/>
  </si>
  <si>
    <t>FmolA CH4</t>
    <phoneticPr fontId="2"/>
  </si>
  <si>
    <t>入口で(H2O)/(CH4)=3.5</t>
    <rPh sb="0" eb="2">
      <t>イリグチ</t>
    </rPh>
    <phoneticPr fontId="2"/>
  </si>
  <si>
    <t>mole frac</t>
    <phoneticPr fontId="2"/>
  </si>
  <si>
    <t>出口で水素とCOの合計量が3100</t>
    <rPh sb="0" eb="2">
      <t>デグチ</t>
    </rPh>
    <rPh sb="3" eb="5">
      <t>スイソ</t>
    </rPh>
    <rPh sb="9" eb="12">
      <t>ゴウケイリョウ</t>
    </rPh>
    <phoneticPr fontId="2"/>
  </si>
  <si>
    <t>反応管1本あたり</t>
    <rPh sb="0" eb="2">
      <t>ハンオウ</t>
    </rPh>
    <rPh sb="2" eb="3">
      <t>カン</t>
    </rPh>
    <rPh sb="4" eb="5">
      <t>ホン</t>
    </rPh>
    <phoneticPr fontId="2"/>
  </si>
  <si>
    <t>ΣFmol in</t>
    <phoneticPr fontId="2"/>
  </si>
  <si>
    <t>mol/s</t>
    <phoneticPr fontId="2"/>
  </si>
  <si>
    <t>a=</t>
    <phoneticPr fontId="2"/>
  </si>
  <si>
    <t>/m</t>
    <phoneticPr fontId="2"/>
  </si>
  <si>
    <t>(伝熱面積／反応器容積）</t>
    <rPh sb="1" eb="3">
      <t>デンネツ</t>
    </rPh>
    <rPh sb="3" eb="5">
      <t>メンセキ</t>
    </rPh>
    <rPh sb="6" eb="8">
      <t>ハンノウ</t>
    </rPh>
    <rPh sb="8" eb="9">
      <t>キ</t>
    </rPh>
    <rPh sb="9" eb="11">
      <t>ヨウセキ</t>
    </rPh>
    <phoneticPr fontId="2"/>
  </si>
  <si>
    <t>L=</t>
    <phoneticPr fontId="2"/>
  </si>
  <si>
    <t>m</t>
    <phoneticPr fontId="2"/>
  </si>
  <si>
    <t>V</t>
    <phoneticPr fontId="2"/>
  </si>
  <si>
    <t>m3</t>
    <phoneticPr fontId="2"/>
  </si>
  <si>
    <t>ρb=</t>
    <phoneticPr fontId="2"/>
  </si>
  <si>
    <t>k0=</t>
    <phoneticPr fontId="2"/>
  </si>
  <si>
    <t>/s</t>
    <phoneticPr fontId="2"/>
  </si>
  <si>
    <t>R=</t>
    <phoneticPr fontId="2"/>
  </si>
  <si>
    <t>触媒層密度(仮）</t>
    <rPh sb="0" eb="2">
      <t>ショクバイ</t>
    </rPh>
    <rPh sb="2" eb="3">
      <t>ソウ</t>
    </rPh>
    <rPh sb="3" eb="5">
      <t>ミツド</t>
    </rPh>
    <rPh sb="6" eb="7">
      <t>カリ</t>
    </rPh>
    <phoneticPr fontId="2"/>
  </si>
  <si>
    <t>E=</t>
    <phoneticPr fontId="2"/>
  </si>
  <si>
    <t xml:space="preserve">kJ/mol </t>
    <phoneticPr fontId="2"/>
  </si>
  <si>
    <t>℃</t>
    <phoneticPr fontId="2"/>
  </si>
  <si>
    <t>(-rA')ρb</t>
    <phoneticPr fontId="2"/>
  </si>
  <si>
    <t>mol/m3</t>
    <phoneticPr fontId="2"/>
  </si>
  <si>
    <t>仮T=</t>
    <rPh sb="0" eb="1">
      <t>カリ</t>
    </rPh>
    <phoneticPr fontId="2"/>
  </si>
  <si>
    <t>仮cA</t>
    <rPh sb="0" eb="1">
      <t>カリ</t>
    </rPh>
    <phoneticPr fontId="2"/>
  </si>
  <si>
    <t>mol/m3-s</t>
    <phoneticPr fontId="2"/>
  </si>
  <si>
    <t>T0=</t>
    <phoneticPr fontId="2"/>
  </si>
  <si>
    <t>ε=</t>
    <phoneticPr fontId="2"/>
  </si>
  <si>
    <t>出口ガス温度</t>
    <rPh sb="0" eb="2">
      <t>デグチ</t>
    </rPh>
    <rPh sb="4" eb="6">
      <t>オンド</t>
    </rPh>
    <phoneticPr fontId="2"/>
  </si>
  <si>
    <t>P</t>
    <phoneticPr fontId="2"/>
  </si>
  <si>
    <t xml:space="preserve"> MPa</t>
    <phoneticPr fontId="2"/>
  </si>
  <si>
    <t>入口圧力</t>
    <rPh sb="0" eb="2">
      <t>イリグチ</t>
    </rPh>
    <rPh sb="2" eb="4">
      <t>アツリョク</t>
    </rPh>
    <phoneticPr fontId="2"/>
  </si>
  <si>
    <t>出口圧力</t>
    <rPh sb="0" eb="2">
      <t>デグチ</t>
    </rPh>
    <rPh sb="2" eb="4">
      <t>アツリョク</t>
    </rPh>
    <phoneticPr fontId="2"/>
  </si>
  <si>
    <t>Ta=</t>
    <phoneticPr fontId="2"/>
  </si>
  <si>
    <t>反応管外側温度</t>
    <rPh sb="0" eb="2">
      <t>ハンオウ</t>
    </rPh>
    <rPh sb="2" eb="3">
      <t>カン</t>
    </rPh>
    <rPh sb="3" eb="5">
      <t>ソトガワ</t>
    </rPh>
    <rPh sb="5" eb="7">
      <t>オンド</t>
    </rPh>
    <phoneticPr fontId="2"/>
  </si>
  <si>
    <t>-ΔrH</t>
    <phoneticPr fontId="2"/>
  </si>
  <si>
    <t>kJ/mol</t>
    <phoneticPr fontId="2"/>
  </si>
  <si>
    <t>U=</t>
    <phoneticPr fontId="2"/>
  </si>
  <si>
    <t>cA0</t>
    <phoneticPr fontId="2"/>
  </si>
  <si>
    <t>kJ/mol-K=m3-kPa/mol-K</t>
    <phoneticPr fontId="2"/>
  </si>
  <si>
    <t>xA</t>
    <phoneticPr fontId="2"/>
  </si>
  <si>
    <t>V[m3]</t>
    <phoneticPr fontId="2"/>
  </si>
  <si>
    <t>V=</t>
    <phoneticPr fontId="2"/>
  </si>
  <si>
    <t>積分区間V=[a,</t>
    <rPh sb="0" eb="2">
      <t>セキブン</t>
    </rPh>
    <rPh sb="2" eb="4">
      <t>クカン</t>
    </rPh>
    <phoneticPr fontId="2"/>
  </si>
  <si>
    <t>積分刻み幅ΔV</t>
    <rPh sb="0" eb="2">
      <t>セキブン</t>
    </rPh>
    <rPh sb="2" eb="3">
      <t>キザ</t>
    </rPh>
    <rPh sb="4" eb="5">
      <t>ハバ</t>
    </rPh>
    <phoneticPr fontId="2"/>
  </si>
  <si>
    <t>T[℃]</t>
    <phoneticPr fontId="2"/>
  </si>
  <si>
    <t>CH4</t>
    <phoneticPr fontId="2"/>
  </si>
  <si>
    <t>H2O</t>
    <phoneticPr fontId="2"/>
  </si>
  <si>
    <t>mol/s</t>
    <phoneticPr fontId="2"/>
  </si>
  <si>
    <t>MPa</t>
    <phoneticPr fontId="2"/>
  </si>
  <si>
    <t>FmolA</t>
    <phoneticPr fontId="2"/>
  </si>
  <si>
    <t xml:space="preserve">FmolB </t>
    <phoneticPr fontId="2"/>
  </si>
  <si>
    <t>FmolC</t>
    <phoneticPr fontId="2"/>
  </si>
  <si>
    <t>FmolD</t>
    <phoneticPr fontId="2"/>
  </si>
  <si>
    <t xml:space="preserve">H2 </t>
    <phoneticPr fontId="2"/>
  </si>
  <si>
    <t>CO</t>
    <phoneticPr fontId="2"/>
  </si>
  <si>
    <t>mol/m3</t>
    <phoneticPr fontId="2"/>
  </si>
  <si>
    <t>(-rA')ρb</t>
    <phoneticPr fontId="2"/>
  </si>
  <si>
    <t>mol/m3-s</t>
    <phoneticPr fontId="2"/>
  </si>
  <si>
    <t>J/m2-s-K</t>
    <phoneticPr fontId="2"/>
  </si>
  <si>
    <t>°C</t>
    <phoneticPr fontId="2"/>
  </si>
  <si>
    <t>m3</t>
    <phoneticPr fontId="2"/>
  </si>
  <si>
    <t>J/mol</t>
    <phoneticPr fontId="2"/>
  </si>
  <si>
    <t>V[m3]</t>
    <phoneticPr fontId="2"/>
  </si>
  <si>
    <t>L[m]</t>
    <phoneticPr fontId="2"/>
  </si>
  <si>
    <t>COCO計算結果</t>
    <rPh sb="4" eb="6">
      <t>ケイサン</t>
    </rPh>
    <rPh sb="6" eb="8">
      <t>ケッカ</t>
    </rPh>
    <phoneticPr fontId="2"/>
  </si>
  <si>
    <t>°C</t>
    <phoneticPr fontId="2"/>
  </si>
  <si>
    <t>T[°C]</t>
    <phoneticPr fontId="2"/>
  </si>
  <si>
    <t>xA</t>
    <phoneticPr fontId="2"/>
  </si>
  <si>
    <t>FA</t>
    <phoneticPr fontId="2"/>
  </si>
  <si>
    <t>Pt=</t>
    <phoneticPr fontId="2"/>
  </si>
  <si>
    <t>T0=</t>
    <phoneticPr fontId="2"/>
  </si>
  <si>
    <t>FA0=</t>
    <phoneticPr fontId="2"/>
  </si>
  <si>
    <t>FB0=</t>
    <phoneticPr fontId="2"/>
  </si>
  <si>
    <t>ΣFi=</t>
    <phoneticPr fontId="2"/>
  </si>
  <si>
    <t>cA0=</t>
    <phoneticPr fontId="2"/>
  </si>
  <si>
    <t>cA=</t>
    <phoneticPr fontId="2"/>
  </si>
  <si>
    <t>Cp=</t>
    <phoneticPr fontId="2"/>
  </si>
  <si>
    <t>U=</t>
    <phoneticPr fontId="2"/>
  </si>
  <si>
    <t>a=</t>
    <phoneticPr fontId="2"/>
  </si>
  <si>
    <t>Ta=</t>
    <phoneticPr fontId="2"/>
  </si>
  <si>
    <t>ΔrH=</t>
    <phoneticPr fontId="2"/>
  </si>
  <si>
    <t>吸熱反応</t>
    <rPh sb="0" eb="2">
      <t>キュウネツ</t>
    </rPh>
    <rPh sb="2" eb="4">
      <t>ハンノウ</t>
    </rPh>
    <phoneticPr fontId="2"/>
  </si>
  <si>
    <t>全モル流量</t>
    <rPh sb="0" eb="1">
      <t>ゼン</t>
    </rPh>
    <rPh sb="3" eb="5">
      <t>リュウリョウ</t>
    </rPh>
    <phoneticPr fontId="2"/>
  </si>
  <si>
    <t>Stream</t>
  </si>
  <si>
    <t>Feed</t>
  </si>
  <si>
    <t>Products</t>
  </si>
  <si>
    <t>Pressure / [MPa]</t>
  </si>
  <si>
    <t>Temperature / [°C]</t>
  </si>
  <si>
    <t>Flow rate / [mol / s]</t>
  </si>
  <si>
    <t>Flow Methane / [mol / s]</t>
  </si>
  <si>
    <t>Flow Water / [mol / s]</t>
  </si>
  <si>
    <t>Flow Hydrogen / [mol / s]</t>
  </si>
  <si>
    <t>Flow Carbon monoxide / [mol / s]</t>
  </si>
  <si>
    <t>PFR_1</t>
  </si>
  <si>
    <t>Parameter</t>
  </si>
  <si>
    <t>Value</t>
  </si>
  <si>
    <t>Methane conversion</t>
  </si>
  <si>
    <t>例題31ではk0=11000とした</t>
    <rPh sb="0" eb="1">
      <t>レイダイ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</si>
</sst>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0.000_);[Red]\(0.000\)"/>
    <numFmt numFmtId="184" formatCode="0.00000_ "/>
    <numFmt numFmtId="185" formatCode="0.000E+00"/>
    <numFmt numFmtId="186" formatCode="0.000000_ "/>
    <numFmt numFmtId="187" formatCode="0_ "/>
    <numFmt numFmtId="188" formatCode="0."/>
    <numFmt numFmtId="189" formatCode="0.??"/>
  </numFmts>
  <fonts count="13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Arial"/>
      <family val="2"/>
    </font>
    <font>
      <sz val="9"/>
      <name val="ＭＳ Ｐゴシック"/>
      <family val="3"/>
      <charset val="128"/>
    </font>
    <font>
      <sz val="9"/>
      <name val="Arial"/>
      <family val="2"/>
    </font>
    <font>
      <sz val="11"/>
      <color rgb="FFFF0000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sz val="11"/>
      <name val="Arial"/>
      <family val="2"/>
    </font>
    <font>
      <sz val="9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181" fontId="1" fillId="0" borderId="0" xfId="1" applyNumberFormat="1" applyFont="1"/>
    <xf numFmtId="179" fontId="1" fillId="0" borderId="0" xfId="1" applyNumberFormat="1" applyFont="1"/>
    <xf numFmtId="0" fontId="1" fillId="0" borderId="5" xfId="1" applyFont="1" applyBorder="1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0" xfId="1" applyNumberFormat="1" applyFont="1"/>
    <xf numFmtId="179" fontId="1" fillId="0" borderId="0" xfId="1" applyNumberFormat="1" applyFont="1" applyBorder="1"/>
    <xf numFmtId="181" fontId="1" fillId="0" borderId="0" xfId="1" applyNumberFormat="1" applyFont="1" applyBorder="1"/>
    <xf numFmtId="0" fontId="1" fillId="0" borderId="4" xfId="1" applyNumberFormat="1" applyFont="1" applyBorder="1"/>
    <xf numFmtId="0" fontId="1" fillId="0" borderId="4" xfId="1" applyFont="1" applyBorder="1"/>
    <xf numFmtId="0" fontId="1" fillId="0" borderId="1" xfId="1" applyFont="1" applyBorder="1"/>
    <xf numFmtId="179" fontId="1" fillId="0" borderId="0" xfId="1" applyNumberFormat="1" applyFont="1" applyAlignment="1">
      <alignment horizontal="right"/>
    </xf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177" fontId="1" fillId="0" borderId="0" xfId="1" applyNumberFormat="1" applyFont="1" applyAlignment="1">
      <alignment horizontal="right"/>
    </xf>
    <xf numFmtId="11" fontId="1" fillId="0" borderId="0" xfId="1" applyNumberFormat="1" applyFont="1"/>
    <xf numFmtId="176" fontId="1" fillId="0" borderId="0" xfId="1" applyNumberFormat="1" applyFont="1"/>
    <xf numFmtId="176" fontId="1" fillId="0" borderId="6" xfId="1" applyNumberFormat="1" applyFont="1" applyBorder="1"/>
    <xf numFmtId="182" fontId="1" fillId="0" borderId="4" xfId="1" applyNumberFormat="1" applyFont="1" applyBorder="1"/>
    <xf numFmtId="178" fontId="1" fillId="0" borderId="0" xfId="1" applyNumberFormat="1" applyFont="1"/>
    <xf numFmtId="182" fontId="1" fillId="0" borderId="0" xfId="1" applyNumberFormat="1" applyFont="1"/>
    <xf numFmtId="177" fontId="1" fillId="0" borderId="0" xfId="1" applyNumberFormat="1" applyFont="1"/>
    <xf numFmtId="180" fontId="1" fillId="0" borderId="0" xfId="1" applyNumberFormat="1" applyFont="1"/>
    <xf numFmtId="183" fontId="1" fillId="0" borderId="0" xfId="1" applyNumberFormat="1" applyFont="1"/>
    <xf numFmtId="0" fontId="1" fillId="0" borderId="0" xfId="1" quotePrefix="1" applyFont="1"/>
    <xf numFmtId="0" fontId="1" fillId="0" borderId="0" xfId="1" applyFont="1" applyAlignment="1">
      <alignment horizontal="right" indent="1"/>
    </xf>
    <xf numFmtId="184" fontId="1" fillId="0" borderId="0" xfId="1" applyNumberFormat="1" applyFont="1"/>
    <xf numFmtId="185" fontId="1" fillId="0" borderId="0" xfId="1" applyNumberFormat="1" applyFont="1"/>
    <xf numFmtId="177" fontId="1" fillId="0" borderId="0" xfId="1" quotePrefix="1" applyNumberFormat="1" applyFont="1" applyAlignment="1">
      <alignment horizontal="right"/>
    </xf>
    <xf numFmtId="0" fontId="4" fillId="0" borderId="0" xfId="1" applyFont="1"/>
    <xf numFmtId="177" fontId="4" fillId="0" borderId="0" xfId="1" applyNumberFormat="1" applyFont="1" applyAlignment="1">
      <alignment horizontal="right"/>
    </xf>
    <xf numFmtId="177" fontId="1" fillId="0" borderId="4" xfId="1" applyNumberFormat="1" applyFont="1" applyBorder="1"/>
    <xf numFmtId="186" fontId="1" fillId="0" borderId="0" xfId="1" applyNumberFormat="1" applyFont="1"/>
    <xf numFmtId="181" fontId="5" fillId="0" borderId="0" xfId="1" applyNumberFormat="1" applyFont="1"/>
    <xf numFmtId="187" fontId="1" fillId="0" borderId="0" xfId="1" applyNumberFormat="1" applyFont="1"/>
    <xf numFmtId="0" fontId="6" fillId="0" borderId="0" xfId="1" quotePrefix="1" applyFont="1"/>
    <xf numFmtId="0" fontId="7" fillId="0" borderId="0" xfId="1" applyFont="1"/>
    <xf numFmtId="176" fontId="1" fillId="0" borderId="0" xfId="1" quotePrefix="1" applyNumberFormat="1" applyFont="1"/>
    <xf numFmtId="0" fontId="6" fillId="0" borderId="0" xfId="1" applyFont="1"/>
    <xf numFmtId="0" fontId="5" fillId="0" borderId="0" xfId="1" applyFont="1"/>
    <xf numFmtId="0" fontId="8" fillId="0" borderId="0" xfId="1" applyFont="1"/>
    <xf numFmtId="0" fontId="1" fillId="0" borderId="0" xfId="1"/>
    <xf numFmtId="11" fontId="1" fillId="0" borderId="6" xfId="1" applyNumberFormat="1" applyFont="1" applyBorder="1"/>
    <xf numFmtId="0" fontId="9" fillId="0" borderId="0" xfId="1" applyFont="1"/>
    <xf numFmtId="0" fontId="4" fillId="0" borderId="0" xfId="1" applyNumberFormat="1" applyFont="1"/>
    <xf numFmtId="0" fontId="8" fillId="0" borderId="0" xfId="1" applyFont="1" applyAlignment="1">
      <alignment horizontal="right"/>
    </xf>
    <xf numFmtId="177" fontId="8" fillId="0" borderId="0" xfId="1" applyNumberFormat="1" applyFont="1"/>
    <xf numFmtId="178" fontId="8" fillId="0" borderId="0" xfId="1" applyNumberFormat="1" applyFont="1"/>
    <xf numFmtId="0" fontId="8" fillId="0" borderId="0" xfId="1" quotePrefix="1" applyFont="1"/>
    <xf numFmtId="0" fontId="8" fillId="0" borderId="0" xfId="1" quotePrefix="1" applyFont="1" applyAlignment="1">
      <alignment horizontal="right"/>
    </xf>
    <xf numFmtId="0" fontId="8" fillId="0" borderId="0" xfId="0" applyFo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189" fontId="8" fillId="0" borderId="7" xfId="0" applyNumberFormat="1" applyFont="1" applyBorder="1">
      <alignment vertical="center"/>
    </xf>
    <xf numFmtId="188" fontId="8" fillId="0" borderId="7" xfId="0" applyNumberFormat="1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189" fontId="8" fillId="0" borderId="11" xfId="0" applyNumberFormat="1" applyFont="1" applyBorder="1">
      <alignment vertical="center"/>
    </xf>
    <xf numFmtId="188" fontId="8" fillId="0" borderId="11" xfId="0" applyNumberFormat="1" applyFont="1" applyBorder="1">
      <alignment vertical="center"/>
    </xf>
    <xf numFmtId="189" fontId="8" fillId="0" borderId="15" xfId="0" applyNumberFormat="1" applyFont="1" applyBorder="1">
      <alignment vertical="center"/>
    </xf>
    <xf numFmtId="189" fontId="8" fillId="0" borderId="13" xfId="0" applyNumberFormat="1" applyFont="1" applyBorder="1">
      <alignment vertical="center"/>
    </xf>
  </cellXfs>
  <cellStyles count="2">
    <cellStyle name="標準" xfId="0" builtinId="0"/>
    <cellStyle name="標準_memb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61584689464866"/>
          <c:y val="9.2827386716222954E-2"/>
          <c:w val="0.61538615631549554"/>
          <c:h val="0.71730253371626829"/>
        </c:manualLayout>
      </c:layout>
      <c:scatterChart>
        <c:scatterStyle val="lineMarker"/>
        <c:varyColors val="0"/>
        <c:ser>
          <c:idx val="3"/>
          <c:order val="3"/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'例題31 非等温PBR'!$U$10:$U$20</c:f>
              <c:numCache>
                <c:formatCode>General</c:formatCode>
                <c:ptCount val="11"/>
                <c:pt idx="0">
                  <c:v>0</c:v>
                </c:pt>
                <c:pt idx="1">
                  <c:v>1.0999999999999999E-2</c:v>
                </c:pt>
                <c:pt idx="2">
                  <c:v>2.1999999999999999E-2</c:v>
                </c:pt>
                <c:pt idx="3">
                  <c:v>3.3000000000000002E-2</c:v>
                </c:pt>
                <c:pt idx="4">
                  <c:v>4.3999999999999997E-2</c:v>
                </c:pt>
                <c:pt idx="5">
                  <c:v>5.5E-2</c:v>
                </c:pt>
                <c:pt idx="6">
                  <c:v>6.6000000000000003E-2</c:v>
                </c:pt>
                <c:pt idx="7">
                  <c:v>7.6999999999999999E-2</c:v>
                </c:pt>
                <c:pt idx="8">
                  <c:v>8.7999999999999995E-2</c:v>
                </c:pt>
                <c:pt idx="9">
                  <c:v>9.9000000000000005E-2</c:v>
                </c:pt>
                <c:pt idx="10">
                  <c:v>0.11</c:v>
                </c:pt>
              </c:numCache>
            </c:numRef>
          </c:xVal>
          <c:yVal>
            <c:numRef>
              <c:f>'例題31 非等温PBR'!$X$10:$X$20</c:f>
              <c:numCache>
                <c:formatCode>General</c:formatCode>
                <c:ptCount val="11"/>
                <c:pt idx="0">
                  <c:v>0</c:v>
                </c:pt>
                <c:pt idx="1">
                  <c:v>8.1035923141186239E-2</c:v>
                </c:pt>
                <c:pt idx="2">
                  <c:v>0.20843776106934009</c:v>
                </c:pt>
                <c:pt idx="3">
                  <c:v>0.32539682539682546</c:v>
                </c:pt>
                <c:pt idx="4">
                  <c:v>0.4235588972431078</c:v>
                </c:pt>
                <c:pt idx="5">
                  <c:v>0.51127819548872189</c:v>
                </c:pt>
                <c:pt idx="6">
                  <c:v>0.58437761069340022</c:v>
                </c:pt>
                <c:pt idx="7">
                  <c:v>0.64912280701754388</c:v>
                </c:pt>
                <c:pt idx="8">
                  <c:v>0.70551378446115298</c:v>
                </c:pt>
                <c:pt idx="9">
                  <c:v>0.75146198830409361</c:v>
                </c:pt>
                <c:pt idx="10">
                  <c:v>0.79114452798663326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C6-4758-9912-CF6BFB112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800336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'例題31 非等温PBR'!$B$11</c:f>
              <c:strCache>
                <c:ptCount val="1"/>
                <c:pt idx="0">
                  <c:v>xA</c:v>
                </c:pt>
              </c:strCache>
            </c:strRef>
          </c:tx>
          <c:spPr>
            <a:ln w="63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'例題31 非等温PBR'!$A$12:$A$227</c:f>
              <c:numCache>
                <c:formatCode>0.000_ </c:formatCode>
                <c:ptCount val="21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1.5000000000000001E-2</c:v>
                </c:pt>
                <c:pt idx="4">
                  <c:v>0.02</c:v>
                </c:pt>
                <c:pt idx="5">
                  <c:v>2.4999999999999998E-2</c:v>
                </c:pt>
                <c:pt idx="6">
                  <c:v>2.9999999999999995E-2</c:v>
                </c:pt>
                <c:pt idx="7">
                  <c:v>3.4999999999999996E-2</c:v>
                </c:pt>
                <c:pt idx="8">
                  <c:v>0.04</c:v>
                </c:pt>
                <c:pt idx="9">
                  <c:v>4.5000000000000005E-2</c:v>
                </c:pt>
                <c:pt idx="10">
                  <c:v>5.000000000000001E-2</c:v>
                </c:pt>
                <c:pt idx="11">
                  <c:v>5.5000000000000014E-2</c:v>
                </c:pt>
                <c:pt idx="12">
                  <c:v>6.0000000000000019E-2</c:v>
                </c:pt>
                <c:pt idx="13">
                  <c:v>6.5000000000000016E-2</c:v>
                </c:pt>
                <c:pt idx="14">
                  <c:v>7.0000000000000021E-2</c:v>
                </c:pt>
                <c:pt idx="15">
                  <c:v>7.5000000000000025E-2</c:v>
                </c:pt>
                <c:pt idx="16">
                  <c:v>8.0000000000000029E-2</c:v>
                </c:pt>
                <c:pt idx="17">
                  <c:v>8.5000000000000034E-2</c:v>
                </c:pt>
                <c:pt idx="18">
                  <c:v>9.0000000000000038E-2</c:v>
                </c:pt>
                <c:pt idx="19">
                  <c:v>9.5000000000000043E-2</c:v>
                </c:pt>
                <c:pt idx="20">
                  <c:v>0.10000000000000005</c:v>
                </c:pt>
                <c:pt idx="21">
                  <c:v>0.10500000000000005</c:v>
                </c:pt>
                <c:pt idx="22">
                  <c:v>0.11000000000000006</c:v>
                </c:pt>
              </c:numCache>
            </c:numRef>
          </c:xVal>
          <c:yVal>
            <c:numRef>
              <c:f>'例題31 非等温PBR'!$B$12:$B$227</c:f>
              <c:numCache>
                <c:formatCode>0.000_ </c:formatCode>
                <c:ptCount val="216"/>
                <c:pt idx="0">
                  <c:v>0</c:v>
                </c:pt>
                <c:pt idx="1">
                  <c:v>3.546962196875697E-2</c:v>
                </c:pt>
                <c:pt idx="2">
                  <c:v>8.9355444056466171E-2</c:v>
                </c:pt>
                <c:pt idx="3">
                  <c:v>0.14831144914048783</c:v>
                </c:pt>
                <c:pt idx="4">
                  <c:v>0.20671234182448905</c:v>
                </c:pt>
                <c:pt idx="5">
                  <c:v>0.26236288330003421</c:v>
                </c:pt>
                <c:pt idx="6">
                  <c:v>0.31470058833598524</c:v>
                </c:pt>
                <c:pt idx="7">
                  <c:v>0.36371297771427613</c:v>
                </c:pt>
                <c:pt idx="8">
                  <c:v>0.40953810312340205</c:v>
                </c:pt>
                <c:pt idx="9">
                  <c:v>0.45234655209845903</c:v>
                </c:pt>
                <c:pt idx="10">
                  <c:v>0.49231005257583899</c:v>
                </c:pt>
                <c:pt idx="11">
                  <c:v>0.52959387208742004</c:v>
                </c:pt>
                <c:pt idx="12">
                  <c:v>0.56435538129906238</c:v>
                </c:pt>
                <c:pt idx="13">
                  <c:v>0.59674412093770646</c:v>
                </c:pt>
                <c:pt idx="14">
                  <c:v>0.62690218120288033</c:v>
                </c:pt>
                <c:pt idx="15">
                  <c:v>0.65496460205499507</c:v>
                </c:pt>
                <c:pt idx="16">
                  <c:v>0.68105973179072943</c:v>
                </c:pt>
                <c:pt idx="17">
                  <c:v>0.70530953816632846</c:v>
                </c:pt>
                <c:pt idx="18">
                  <c:v>0.72782987921442521</c:v>
                </c:pt>
                <c:pt idx="19">
                  <c:v>0.74873074267930206</c:v>
                </c:pt>
                <c:pt idx="20">
                  <c:v>0.76811646210651696</c:v>
                </c:pt>
                <c:pt idx="21">
                  <c:v>0.78608591622818913</c:v>
                </c:pt>
                <c:pt idx="22">
                  <c:v>0.80273271692610138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ED-4E9C-B032-935F780CD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800336"/>
        <c:axId val="1"/>
      </c:scatterChart>
      <c:scatterChart>
        <c:scatterStyle val="lineMarker"/>
        <c:varyColors val="0"/>
        <c:ser>
          <c:idx val="1"/>
          <c:order val="1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'例題31 非等温PBR'!$A$12:$A$34</c:f>
              <c:numCache>
                <c:formatCode>0.000_ </c:formatCode>
                <c:ptCount val="23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1.5000000000000001E-2</c:v>
                </c:pt>
                <c:pt idx="4">
                  <c:v>0.02</c:v>
                </c:pt>
                <c:pt idx="5">
                  <c:v>2.4999999999999998E-2</c:v>
                </c:pt>
                <c:pt idx="6">
                  <c:v>2.9999999999999995E-2</c:v>
                </c:pt>
                <c:pt idx="7">
                  <c:v>3.4999999999999996E-2</c:v>
                </c:pt>
                <c:pt idx="8">
                  <c:v>0.04</c:v>
                </c:pt>
                <c:pt idx="9">
                  <c:v>4.5000000000000005E-2</c:v>
                </c:pt>
                <c:pt idx="10">
                  <c:v>5.000000000000001E-2</c:v>
                </c:pt>
                <c:pt idx="11">
                  <c:v>5.5000000000000014E-2</c:v>
                </c:pt>
                <c:pt idx="12">
                  <c:v>6.0000000000000019E-2</c:v>
                </c:pt>
                <c:pt idx="13">
                  <c:v>6.5000000000000016E-2</c:v>
                </c:pt>
                <c:pt idx="14">
                  <c:v>7.0000000000000021E-2</c:v>
                </c:pt>
                <c:pt idx="15">
                  <c:v>7.5000000000000025E-2</c:v>
                </c:pt>
                <c:pt idx="16">
                  <c:v>8.0000000000000029E-2</c:v>
                </c:pt>
                <c:pt idx="17">
                  <c:v>8.5000000000000034E-2</c:v>
                </c:pt>
                <c:pt idx="18">
                  <c:v>9.0000000000000038E-2</c:v>
                </c:pt>
                <c:pt idx="19">
                  <c:v>9.5000000000000043E-2</c:v>
                </c:pt>
                <c:pt idx="20">
                  <c:v>0.10000000000000005</c:v>
                </c:pt>
                <c:pt idx="21">
                  <c:v>0.10500000000000005</c:v>
                </c:pt>
                <c:pt idx="22">
                  <c:v>0.11000000000000006</c:v>
                </c:pt>
              </c:numCache>
            </c:numRef>
          </c:xVal>
          <c:yVal>
            <c:numRef>
              <c:f>'例題31 非等温PBR'!$C$12:$C$34</c:f>
              <c:numCache>
                <c:formatCode>0.0_ </c:formatCode>
                <c:ptCount val="23"/>
                <c:pt idx="0" formatCode="0.00_ ">
                  <c:v>520</c:v>
                </c:pt>
                <c:pt idx="1">
                  <c:v>728.20529061462116</c:v>
                </c:pt>
                <c:pt idx="2">
                  <c:v>786.31459501837162</c:v>
                </c:pt>
                <c:pt idx="3">
                  <c:v>806.33627635657592</c:v>
                </c:pt>
                <c:pt idx="4">
                  <c:v>814.61336893982912</c:v>
                </c:pt>
                <c:pt idx="5">
                  <c:v>819.28353058513721</c:v>
                </c:pt>
                <c:pt idx="6">
                  <c:v>822.80901175592521</c:v>
                </c:pt>
                <c:pt idx="7">
                  <c:v>825.89633805920278</c:v>
                </c:pt>
                <c:pt idx="8">
                  <c:v>828.74595533802062</c:v>
                </c:pt>
                <c:pt idx="9">
                  <c:v>831.41837517366298</c:v>
                </c:pt>
                <c:pt idx="10">
                  <c:v>833.93579166320171</c:v>
                </c:pt>
                <c:pt idx="11">
                  <c:v>836.309605625166</c:v>
                </c:pt>
                <c:pt idx="12">
                  <c:v>838.54788296417667</c:v>
                </c:pt>
                <c:pt idx="13">
                  <c:v>840.65743543601047</c:v>
                </c:pt>
                <c:pt idx="14">
                  <c:v>842.64444823135261</c:v>
                </c:pt>
                <c:pt idx="15">
                  <c:v>844.51470239823709</c:v>
                </c:pt>
                <c:pt idx="16">
                  <c:v>846.27367564906751</c:v>
                </c:pt>
                <c:pt idx="17">
                  <c:v>847.92660056715681</c:v>
                </c:pt>
                <c:pt idx="18">
                  <c:v>849.47850362129361</c:v>
                </c:pt>
                <c:pt idx="19">
                  <c:v>850.93423286878988</c:v>
                </c:pt>
                <c:pt idx="20">
                  <c:v>852.29847768656725</c:v>
                </c:pt>
                <c:pt idx="21">
                  <c:v>853.57578241914291</c:v>
                </c:pt>
                <c:pt idx="22">
                  <c:v>854.77055528333267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ED-4E9C-B032-935F780CDC6F}"/>
            </c:ext>
          </c:extLst>
        </c:ser>
        <c:ser>
          <c:idx val="2"/>
          <c:order val="2"/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'例題31 非等温PBR'!$Y$10:$Y$21</c:f>
              <c:numCache>
                <c:formatCode>General</c:formatCode>
                <c:ptCount val="12"/>
                <c:pt idx="0">
                  <c:v>0</c:v>
                </c:pt>
                <c:pt idx="1">
                  <c:v>5.4999999999999997E-3</c:v>
                </c:pt>
                <c:pt idx="2">
                  <c:v>1.0999999999999999E-2</c:v>
                </c:pt>
                <c:pt idx="3">
                  <c:v>2.1999999999999999E-2</c:v>
                </c:pt>
                <c:pt idx="4">
                  <c:v>3.3000000000000002E-2</c:v>
                </c:pt>
                <c:pt idx="5">
                  <c:v>4.3999999999999997E-2</c:v>
                </c:pt>
                <c:pt idx="6">
                  <c:v>5.5E-2</c:v>
                </c:pt>
                <c:pt idx="7">
                  <c:v>6.6000000000000003E-2</c:v>
                </c:pt>
                <c:pt idx="8">
                  <c:v>7.6999999999999999E-2</c:v>
                </c:pt>
                <c:pt idx="9">
                  <c:v>8.7999999999999995E-2</c:v>
                </c:pt>
                <c:pt idx="10">
                  <c:v>9.9000000000000005E-2</c:v>
                </c:pt>
                <c:pt idx="11">
                  <c:v>0.11</c:v>
                </c:pt>
              </c:numCache>
            </c:numRef>
          </c:xVal>
          <c:yVal>
            <c:numRef>
              <c:f>'例題31 非等温PBR'!$Z$10:$Z$21</c:f>
              <c:numCache>
                <c:formatCode>General</c:formatCode>
                <c:ptCount val="12"/>
                <c:pt idx="0">
                  <c:v>520</c:v>
                </c:pt>
                <c:pt idx="1">
                  <c:v>749.5</c:v>
                </c:pt>
                <c:pt idx="2">
                  <c:v>796</c:v>
                </c:pt>
                <c:pt idx="3">
                  <c:v>812</c:v>
                </c:pt>
                <c:pt idx="4">
                  <c:v>820</c:v>
                </c:pt>
                <c:pt idx="5">
                  <c:v>826</c:v>
                </c:pt>
                <c:pt idx="6">
                  <c:v>832</c:v>
                </c:pt>
                <c:pt idx="7">
                  <c:v>837</c:v>
                </c:pt>
                <c:pt idx="8">
                  <c:v>842</c:v>
                </c:pt>
                <c:pt idx="9">
                  <c:v>846</c:v>
                </c:pt>
                <c:pt idx="10">
                  <c:v>849</c:v>
                </c:pt>
                <c:pt idx="11">
                  <c:v>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C6-4758-9912-CF6BFB112C3E}"/>
            </c:ext>
          </c:extLst>
        </c:ser>
        <c:ser>
          <c:idx val="4"/>
          <c:order val="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'例題31 非等温PBR'!$W$1:$W$2</c:f>
              <c:numCache>
                <c:formatCode>General</c:formatCode>
                <c:ptCount val="2"/>
                <c:pt idx="0">
                  <c:v>0.02</c:v>
                </c:pt>
                <c:pt idx="1">
                  <c:v>0.11</c:v>
                </c:pt>
              </c:numCache>
            </c:numRef>
          </c:xVal>
          <c:yVal>
            <c:numRef>
              <c:f>'例題31 非等温PBR'!$X$1:$X$2</c:f>
              <c:numCache>
                <c:formatCode>General</c:formatCode>
                <c:ptCount val="2"/>
                <c:pt idx="0">
                  <c:v>870</c:v>
                </c:pt>
                <c:pt idx="1">
                  <c:v>870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CB-4D1F-B0E9-A47F43C55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975800336"/>
        <c:scaling>
          <c:orientation val="minMax"/>
          <c:max val="0.1200000000000000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 [m</a:t>
                </a:r>
                <a:r>
                  <a:rPr lang="en-US" sz="1200" baseline="30000"/>
                  <a:t>3</a:t>
                </a:r>
                <a:r>
                  <a:rPr lang="en-US" sz="1200"/>
                  <a:t>]</a:t>
                </a:r>
              </a:p>
            </c:rich>
          </c:tx>
          <c:layout>
            <c:manualLayout>
              <c:xMode val="edge"/>
              <c:yMode val="edge"/>
              <c:x val="0.45128318129803008"/>
              <c:y val="0.89873788047979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2.0000000000000004E-2"/>
        <c:minorUnit val="1.0000000000000002E-2"/>
      </c:valAx>
      <c:valAx>
        <c:axId val="1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x</a:t>
                </a:r>
                <a:r>
                  <a:rPr lang="en-US" sz="1200" baseline="-25000"/>
                  <a:t>A</a:t>
                </a:r>
              </a:p>
            </c:rich>
          </c:tx>
          <c:layout>
            <c:manualLayout>
              <c:xMode val="edge"/>
              <c:yMode val="edge"/>
              <c:x val="4.8718070708310066E-2"/>
              <c:y val="0.4135038135540840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75800336"/>
        <c:crosses val="autoZero"/>
        <c:crossBetween val="midCat"/>
        <c:majorUnit val="0.2"/>
        <c:minorUnit val="0.1"/>
      </c:valAx>
      <c:valAx>
        <c:axId val="3"/>
        <c:scaling>
          <c:orientation val="minMax"/>
        </c:scaling>
        <c:delete val="1"/>
        <c:axPos val="b"/>
        <c:numFmt formatCode="0.000_ 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1000"/>
          <c:min val="500"/>
        </c:scaling>
        <c:delete val="0"/>
        <c:axPos val="r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 </a:t>
                </a:r>
                <a:r>
                  <a:rPr lang="en-US" sz="1200">
                    <a:latin typeface="Arial" panose="020B0604020202020204" pitchFamily="34" charset="0"/>
                    <a:ea typeface="$ＪＳ明朝" panose="04030B090D0B02020403" pitchFamily="17" charset="-128"/>
                    <a:cs typeface="Arial" panose="020B0604020202020204" pitchFamily="34" charset="0"/>
                  </a:rPr>
                  <a:t>[</a:t>
                </a:r>
                <a:r>
                  <a:rPr lang="en-US" altLang="ja-JP" sz="1200" b="0" i="0" u="none" strike="noStrike" baseline="0">
                    <a:effectLst/>
                    <a:latin typeface="Arial" panose="020B0604020202020204" pitchFamily="34" charset="0"/>
                    <a:ea typeface="$ＪＳ明朝" panose="04030B090D0B02020403" pitchFamily="17" charset="-128"/>
                    <a:cs typeface="Arial" panose="020B0604020202020204" pitchFamily="34" charset="0"/>
                  </a:rPr>
                  <a:t>°C</a:t>
                </a:r>
                <a:r>
                  <a:rPr lang="en-US" altLang="ja-JP" sz="1200" b="0" i="0" u="none" strike="noStrike" baseline="0">
                    <a:latin typeface="Arial" panose="020B0604020202020204" pitchFamily="34" charset="0"/>
                    <a:ea typeface="$ＪＳ明朝" panose="04030B090D0B02020403" pitchFamily="17" charset="-128"/>
                    <a:cs typeface="Arial" panose="020B0604020202020204" pitchFamily="34" charset="0"/>
                  </a:rPr>
                  <a:t> </a:t>
                </a:r>
                <a:r>
                  <a:rPr lang="en-US" sz="1200">
                    <a:latin typeface="Arial" panose="020B0604020202020204" pitchFamily="34" charset="0"/>
                    <a:ea typeface="$ＪＳ明朝" panose="04030B090D0B02020403" pitchFamily="17" charset="-128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0.89487408503154331"/>
              <c:y val="0.3062951518829324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midCat"/>
        <c:majorUnit val="100"/>
        <c:minorUnit val="50"/>
      </c:valAx>
      <c:spPr>
        <a:noFill/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6</xdr:row>
          <xdr:rowOff>137160</xdr:rowOff>
        </xdr:from>
        <xdr:to>
          <xdr:col>4</xdr:col>
          <xdr:colOff>38100</xdr:colOff>
          <xdr:row>8</xdr:row>
          <xdr:rowOff>99060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Runge-Kutta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460367</xdr:colOff>
      <xdr:row>19</xdr:row>
      <xdr:rowOff>117113</xdr:rowOff>
    </xdr:from>
    <xdr:to>
      <xdr:col>11</xdr:col>
      <xdr:colOff>39670</xdr:colOff>
      <xdr:row>37</xdr:row>
      <xdr:rowOff>1163</xdr:rowOff>
    </xdr:to>
    <xdr:graphicFrame macro="">
      <xdr:nvGraphicFramePr>
        <xdr:cNvPr id="1044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69274</xdr:colOff>
      <xdr:row>10</xdr:row>
      <xdr:rowOff>61576</xdr:rowOff>
    </xdr:from>
    <xdr:to>
      <xdr:col>11</xdr:col>
      <xdr:colOff>746608</xdr:colOff>
      <xdr:row>12</xdr:row>
      <xdr:rowOff>152413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8486" y="1870364"/>
          <a:ext cx="3155758" cy="46029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0.37879</cdr:x>
      <cdr:y>0.66836</cdr:y>
    </cdr:from>
    <cdr:to>
      <cdr:x>0.47118</cdr:x>
      <cdr:y>0.76558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01470" y="1959665"/>
          <a:ext cx="415007" cy="285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lang="en-US" altLang="ja-JP" sz="1200" baseline="-250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0.51123</cdr:x>
      <cdr:y>0.08903</cdr:y>
    </cdr:from>
    <cdr:to>
      <cdr:x>0.60361</cdr:x>
      <cdr:y>0.18625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296406" y="261034"/>
          <a:ext cx="414961" cy="285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0.42177</cdr:x>
      <cdr:y>0.16914</cdr:y>
    </cdr:from>
    <cdr:to>
      <cdr:x>0.51416</cdr:x>
      <cdr:y>0.26636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894537" y="495933"/>
          <a:ext cx="415006" cy="285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0.55993</cdr:x>
      <cdr:y>0.17277</cdr:y>
    </cdr:from>
    <cdr:to>
      <cdr:x>0.68366</cdr:x>
      <cdr:y>0.25147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15128" y="506569"/>
          <a:ext cx="555782" cy="2307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0.49709</cdr:x>
      <cdr:y>0.18122</cdr:y>
    </cdr:from>
    <cdr:to>
      <cdr:x>0.54094</cdr:x>
      <cdr:y>0.32343</cdr:y>
    </cdr:to>
    <cdr:cxnSp macro="">
      <cdr:nvCxnSpPr>
        <cdr:cNvPr id="7" name="直線コネクタ 6"/>
        <cdr:cNvCxnSpPr/>
      </cdr:nvCxnSpPr>
      <cdr:spPr>
        <a:xfrm xmlns:a="http://schemas.openxmlformats.org/drawingml/2006/main" flipV="1">
          <a:off x="2232875" y="531354"/>
          <a:ext cx="196972" cy="4169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0.53952</cdr:x>
      <cdr:y>0.18589</cdr:y>
    </cdr:from>
    <cdr:to>
      <cdr:x>0.58549</cdr:x>
      <cdr:y>0.3151</cdr:y>
    </cdr:to>
    <cdr:cxnSp macro="">
      <cdr:nvCxnSpPr>
        <cdr:cNvPr id="8" name="直線コネクタ 7"/>
        <cdr:cNvCxnSpPr/>
      </cdr:nvCxnSpPr>
      <cdr:spPr>
        <a:xfrm xmlns:a="http://schemas.openxmlformats.org/drawingml/2006/main" flipH="1" flipV="1">
          <a:off x="2423446" y="545053"/>
          <a:ext cx="206521" cy="37884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0.40214</cdr:x>
      <cdr:y>0.46552</cdr:y>
    </cdr:from>
    <cdr:to>
      <cdr:x>0.43453</cdr:x>
      <cdr:y>0.6905</cdr:y>
    </cdr:to>
    <cdr:cxnSp macro="">
      <cdr:nvCxnSpPr>
        <cdr:cNvPr id="10" name="直線コネクタ 9"/>
        <cdr:cNvCxnSpPr/>
      </cdr:nvCxnSpPr>
      <cdr:spPr>
        <a:xfrm xmlns:a="http://schemas.openxmlformats.org/drawingml/2006/main" flipV="1">
          <a:off x="1806391" y="1364933"/>
          <a:ext cx="145450" cy="65963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0.29139</cdr:x>
      <cdr:y>0.63798</cdr:y>
    </cdr:from>
    <cdr:to>
      <cdr:x>0.38378</cdr:x>
      <cdr:y>0.7352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1308883" y="1870595"/>
          <a:ext cx="415006" cy="285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0.35074</cdr:x>
      <cdr:y>0.56186</cdr:y>
    </cdr:from>
    <cdr:to>
      <cdr:x>0.40043</cdr:x>
      <cdr:y>0.67737</cdr:y>
    </cdr:to>
    <cdr:cxnSp macro="">
      <cdr:nvCxnSpPr>
        <cdr:cNvPr id="12" name="直線コネクタ 11"/>
        <cdr:cNvCxnSpPr/>
      </cdr:nvCxnSpPr>
      <cdr:spPr>
        <a:xfrm xmlns:a="http://schemas.openxmlformats.org/drawingml/2006/main" flipH="1" flipV="1">
          <a:off x="1575482" y="1647416"/>
          <a:ext cx="223212" cy="3386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0.41443</cdr:x>
      <cdr:y>0.5651</cdr:y>
    </cdr:from>
    <cdr:to>
      <cdr:x>0.53815</cdr:x>
      <cdr:y>0.66001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1861572" y="1656898"/>
          <a:ext cx="555737" cy="278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0.26386</cdr:x>
      <cdr:y>0.19448</cdr:y>
    </cdr:from>
    <cdr:to>
      <cdr:x>0.3554</cdr:x>
      <cdr:y>0.30621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1272562" y="585564"/>
          <a:ext cx="441465" cy="336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r>
            <a:rPr lang="en-US" altLang="ja-JP" sz="1200" baseline="-250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Z173"/>
  <sheetViews>
    <sheetView tabSelected="1" zoomScale="99" zoomScaleNormal="99" workbookViewId="0">
      <selection activeCell="I1" sqref="I1"/>
    </sheetView>
  </sheetViews>
  <sheetFormatPr defaultColWidth="12" defaultRowHeight="13.2"/>
  <cols>
    <col min="1" max="1" width="18.7109375" style="2" customWidth="1"/>
    <col min="2" max="2" width="12.140625" style="4" customWidth="1"/>
    <col min="3" max="3" width="10.7109375" style="1" customWidth="1"/>
    <col min="4" max="5" width="8" style="4" customWidth="1"/>
    <col min="6" max="6" width="9.42578125" style="4" customWidth="1"/>
    <col min="7" max="7" width="14" style="4" customWidth="1"/>
    <col min="8" max="8" width="13.85546875" style="4" customWidth="1"/>
    <col min="9" max="9" width="17.42578125" style="31" bestFit="1" customWidth="1"/>
    <col min="10" max="10" width="12" style="4"/>
    <col min="11" max="11" width="17" style="4" customWidth="1"/>
    <col min="12" max="12" width="17.42578125" style="4" bestFit="1" customWidth="1"/>
    <col min="13" max="14" width="12" style="4"/>
    <col min="15" max="15" width="9.85546875" style="4" customWidth="1"/>
    <col min="16" max="16" width="14.85546875" style="4" customWidth="1"/>
    <col min="17" max="16384" width="12" style="4"/>
  </cols>
  <sheetData>
    <row r="1" spans="1:26" ht="14.4" thickBot="1">
      <c r="A1" s="2" t="s">
        <v>1</v>
      </c>
      <c r="B1" s="3">
        <v>2</v>
      </c>
      <c r="F1" s="47" t="s">
        <v>111</v>
      </c>
      <c r="G1" s="42">
        <v>2.96</v>
      </c>
      <c r="H1" s="42" t="s">
        <v>90</v>
      </c>
      <c r="K1" s="34"/>
      <c r="M1" s="17" t="s">
        <v>22</v>
      </c>
      <c r="O1" s="4" t="s">
        <v>24</v>
      </c>
      <c r="S1" s="4" t="s">
        <v>12</v>
      </c>
      <c r="T1" s="4" t="s">
        <v>52</v>
      </c>
      <c r="U1" s="4" t="s">
        <v>21</v>
      </c>
      <c r="W1" s="4">
        <v>0.02</v>
      </c>
      <c r="X1" s="4">
        <v>870</v>
      </c>
    </row>
    <row r="2" spans="1:26" ht="13.8">
      <c r="A2" s="2" t="s">
        <v>83</v>
      </c>
      <c r="B2" s="4" t="s">
        <v>16</v>
      </c>
      <c r="C2" s="1" t="s">
        <v>5</v>
      </c>
      <c r="E2" s="18"/>
      <c r="F2" s="47" t="s">
        <v>112</v>
      </c>
      <c r="G2" s="42">
        <v>520</v>
      </c>
      <c r="H2" s="42" t="s">
        <v>101</v>
      </c>
      <c r="K2" s="28"/>
      <c r="M2" s="5" t="s">
        <v>50</v>
      </c>
      <c r="N2" s="4">
        <v>12</v>
      </c>
      <c r="O2" s="4" t="s">
        <v>51</v>
      </c>
      <c r="S2" s="4" t="s">
        <v>13</v>
      </c>
      <c r="T2" s="4" t="s">
        <v>53</v>
      </c>
      <c r="U2" s="4" t="s">
        <v>14</v>
      </c>
      <c r="W2" s="4">
        <v>0.11</v>
      </c>
      <c r="X2" s="4">
        <v>870</v>
      </c>
    </row>
    <row r="3" spans="1:26" ht="13.8">
      <c r="A3" s="2">
        <v>0.11000000000000006</v>
      </c>
      <c r="B3" s="4">
        <v>0.80274225589104076</v>
      </c>
      <c r="C3" s="6">
        <v>854.76863318664209</v>
      </c>
      <c r="F3" s="47" t="s">
        <v>113</v>
      </c>
      <c r="G3" s="48">
        <v>1.331</v>
      </c>
      <c r="H3" s="42" t="s">
        <v>89</v>
      </c>
      <c r="I3" s="41" t="s">
        <v>87</v>
      </c>
      <c r="J3" s="42"/>
      <c r="K3" s="28"/>
      <c r="M3" s="5" t="s">
        <v>9</v>
      </c>
      <c r="N3" s="6">
        <v>5.3999999999999999E-2</v>
      </c>
      <c r="O3" s="4" t="s">
        <v>10</v>
      </c>
      <c r="P3" s="4" t="s">
        <v>15</v>
      </c>
      <c r="S3" s="4">
        <v>1</v>
      </c>
      <c r="T3" s="4">
        <f>3.14*$N$3^2*S3</f>
        <v>9.1562399999999995E-3</v>
      </c>
      <c r="U3" s="21">
        <f>S3*3.14*$N$3^2*$N$5</f>
        <v>10.987487999999999</v>
      </c>
    </row>
    <row r="4" spans="1:26" ht="14.4" thickBot="1">
      <c r="B4" s="7" t="s">
        <v>17</v>
      </c>
      <c r="C4" s="8" t="s">
        <v>23</v>
      </c>
      <c r="D4" s="7"/>
      <c r="F4" s="47" t="s">
        <v>114</v>
      </c>
      <c r="G4" s="48">
        <v>4.66</v>
      </c>
      <c r="H4" s="42" t="s">
        <v>89</v>
      </c>
      <c r="I4" s="41" t="s">
        <v>88</v>
      </c>
      <c r="J4" s="27"/>
      <c r="M4" s="5" t="s">
        <v>47</v>
      </c>
      <c r="N4" s="21">
        <f>2/N3</f>
        <v>37.037037037037038</v>
      </c>
      <c r="O4" s="26" t="s">
        <v>48</v>
      </c>
      <c r="P4" s="4" t="s">
        <v>49</v>
      </c>
      <c r="S4" s="4">
        <v>12</v>
      </c>
      <c r="T4" s="4">
        <f>3.14*$N$3^2*S4</f>
        <v>0.10987487999999999</v>
      </c>
      <c r="U4" s="21">
        <f>S4*3.14*$N$3^2*$N$5</f>
        <v>131.84985599999999</v>
      </c>
    </row>
    <row r="5" spans="1:26" ht="14.4" thickBot="1">
      <c r="A5" s="2" t="s">
        <v>2</v>
      </c>
      <c r="B5" s="44">
        <f>G12/G3</f>
        <v>3.2028712364617107</v>
      </c>
      <c r="C5" s="9">
        <f>(-G14*G15*(C3-G16)+(-G12)*(G17))/(G9*G13)</f>
        <v>231.47171650621206</v>
      </c>
      <c r="D5" s="10"/>
      <c r="F5" s="47" t="s">
        <v>91</v>
      </c>
      <c r="G5" s="48">
        <f>G3*(1-B3)</f>
        <v>0.26255005740902476</v>
      </c>
      <c r="H5" s="42" t="s">
        <v>89</v>
      </c>
      <c r="I5" s="41" t="s">
        <v>87</v>
      </c>
      <c r="J5" s="27"/>
      <c r="M5" s="5" t="s">
        <v>54</v>
      </c>
      <c r="N5" s="4">
        <v>1200</v>
      </c>
      <c r="O5" s="4" t="s">
        <v>8</v>
      </c>
      <c r="P5" s="4" t="s">
        <v>58</v>
      </c>
    </row>
    <row r="6" spans="1:26" ht="14.4" thickBot="1">
      <c r="E6" s="15"/>
      <c r="F6" s="47" t="s">
        <v>92</v>
      </c>
      <c r="G6" s="48">
        <f>G4-G3*B3</f>
        <v>3.5915500574090249</v>
      </c>
      <c r="H6" s="42" t="s">
        <v>89</v>
      </c>
      <c r="I6" s="41" t="s">
        <v>88</v>
      </c>
      <c r="J6" s="5"/>
      <c r="K6" s="23"/>
      <c r="M6" s="5" t="s">
        <v>55</v>
      </c>
      <c r="N6" s="4">
        <v>110</v>
      </c>
      <c r="O6" s="26" t="s">
        <v>56</v>
      </c>
      <c r="P6" s="37" t="s">
        <v>139</v>
      </c>
      <c r="T6" s="4">
        <f>T4*210</f>
        <v>23.073724799999997</v>
      </c>
      <c r="U6" s="4">
        <v>92.3</v>
      </c>
      <c r="V6" s="4" t="s">
        <v>102</v>
      </c>
    </row>
    <row r="7" spans="1:26" ht="13.8">
      <c r="A7" s="2" t="s">
        <v>84</v>
      </c>
      <c r="B7" s="11">
        <v>0</v>
      </c>
      <c r="F7" s="47" t="s">
        <v>93</v>
      </c>
      <c r="G7" s="48">
        <f>3*G3*B3</f>
        <v>3.2053498277729258</v>
      </c>
      <c r="H7" s="42" t="s">
        <v>89</v>
      </c>
      <c r="I7" s="41" t="s">
        <v>95</v>
      </c>
      <c r="M7" s="5" t="s">
        <v>57</v>
      </c>
      <c r="N7" s="17">
        <v>8.3140000000000002E-3</v>
      </c>
      <c r="O7" s="4" t="s">
        <v>80</v>
      </c>
    </row>
    <row r="8" spans="1:26" ht="13.8">
      <c r="A8" s="12" t="s">
        <v>0</v>
      </c>
      <c r="B8" s="13">
        <v>0.11</v>
      </c>
      <c r="E8" s="18"/>
      <c r="F8" s="47" t="s">
        <v>94</v>
      </c>
      <c r="G8" s="48">
        <f>G3*B3</f>
        <v>1.0684499425909753</v>
      </c>
      <c r="H8" s="42" t="s">
        <v>89</v>
      </c>
      <c r="I8" s="41" t="s">
        <v>96</v>
      </c>
      <c r="J8" s="5"/>
      <c r="K8" s="26"/>
      <c r="M8" s="5" t="s">
        <v>59</v>
      </c>
      <c r="N8" s="4">
        <v>95.4</v>
      </c>
      <c r="O8" s="4" t="s">
        <v>60</v>
      </c>
      <c r="T8" s="6"/>
      <c r="U8" s="4" t="s">
        <v>106</v>
      </c>
    </row>
    <row r="9" spans="1:26" ht="14.4" thickBot="1">
      <c r="A9" s="1" t="s">
        <v>85</v>
      </c>
      <c r="B9" s="14">
        <v>5.0000000000000001E-3</v>
      </c>
      <c r="E9" s="18"/>
      <c r="F9" s="47" t="s">
        <v>115</v>
      </c>
      <c r="G9" s="48">
        <f>SUM(G5:G8)</f>
        <v>8.1278998851819502</v>
      </c>
      <c r="H9" s="42" t="s">
        <v>89</v>
      </c>
      <c r="I9" s="31" t="s">
        <v>124</v>
      </c>
      <c r="J9" s="5"/>
      <c r="M9" s="4" t="s">
        <v>64</v>
      </c>
      <c r="N9" s="4">
        <v>520</v>
      </c>
      <c r="O9" s="42" t="s">
        <v>107</v>
      </c>
      <c r="U9" s="4" t="s">
        <v>104</v>
      </c>
      <c r="V9" s="4" t="s">
        <v>105</v>
      </c>
      <c r="W9" s="4" t="s">
        <v>110</v>
      </c>
      <c r="X9" s="4" t="s">
        <v>109</v>
      </c>
      <c r="Y9" s="4" t="s">
        <v>104</v>
      </c>
      <c r="Z9" s="42" t="s">
        <v>108</v>
      </c>
    </row>
    <row r="10" spans="1:26" ht="13.8">
      <c r="A10" s="2" t="s">
        <v>3</v>
      </c>
      <c r="F10" s="47" t="s">
        <v>116</v>
      </c>
      <c r="G10" s="48">
        <f>(G3/(G3+G4))*G1/0.00000831/(G2+273.15)</f>
        <v>99.773244370037418</v>
      </c>
      <c r="H10" s="42" t="s">
        <v>97</v>
      </c>
      <c r="M10" s="4" t="s">
        <v>81</v>
      </c>
      <c r="N10" s="4">
        <v>0</v>
      </c>
      <c r="U10" s="4">
        <v>0</v>
      </c>
      <c r="V10" s="4">
        <v>0</v>
      </c>
      <c r="W10" s="4">
        <v>4.7880000000000003</v>
      </c>
      <c r="X10" s="4">
        <f t="shared" ref="X10:X20" si="0">1-W10/$W$10</f>
        <v>0</v>
      </c>
      <c r="Y10" s="4">
        <v>0</v>
      </c>
      <c r="Z10" s="4">
        <v>520</v>
      </c>
    </row>
    <row r="11" spans="1:26" ht="14.4" thickBot="1">
      <c r="A11" s="2" t="s">
        <v>82</v>
      </c>
      <c r="B11" s="15" t="s">
        <v>18</v>
      </c>
      <c r="C11" s="8" t="s">
        <v>86</v>
      </c>
      <c r="D11" s="15"/>
      <c r="E11" s="18"/>
      <c r="F11" s="47" t="s">
        <v>117</v>
      </c>
      <c r="G11" s="48">
        <f>(G5/G9)*G1/0.00000831/(C3+273.15)</f>
        <v>10.201092556670948</v>
      </c>
      <c r="H11" s="42" t="s">
        <v>97</v>
      </c>
      <c r="M11" s="4" t="s">
        <v>65</v>
      </c>
      <c r="N11" s="4">
        <f>N21*(1-N10)</f>
        <v>99.750216863627102</v>
      </c>
      <c r="O11" s="4" t="s">
        <v>63</v>
      </c>
      <c r="Q11" s="43"/>
      <c r="U11" s="4">
        <v>1.0999999999999999E-2</v>
      </c>
      <c r="V11" s="23">
        <f>U11/(3.14*$N$3^2)</f>
        <v>1.2013664997859383</v>
      </c>
      <c r="W11" s="4">
        <v>4.4000000000000004</v>
      </c>
      <c r="X11" s="4">
        <f t="shared" si="0"/>
        <v>8.1035923141186239E-2</v>
      </c>
      <c r="Y11" s="4">
        <f>Y12/2</f>
        <v>5.4999999999999997E-3</v>
      </c>
      <c r="Z11" s="4">
        <v>749.5</v>
      </c>
    </row>
    <row r="12" spans="1:26" ht="14.4" thickBot="1">
      <c r="A12" s="18">
        <v>0</v>
      </c>
      <c r="B12" s="19">
        <v>0</v>
      </c>
      <c r="C12" s="33">
        <v>520</v>
      </c>
      <c r="D12" s="20"/>
      <c r="E12" s="5" t="s">
        <v>4</v>
      </c>
      <c r="F12" s="47" t="s">
        <v>98</v>
      </c>
      <c r="G12" s="48">
        <f>11000*G11*EXP(-1*95.4/0.00831/(C3+273.15))</f>
        <v>4.263021615730537</v>
      </c>
      <c r="H12" s="42" t="s">
        <v>99</v>
      </c>
      <c r="I12" s="46"/>
      <c r="M12" s="4" t="s">
        <v>62</v>
      </c>
      <c r="N12" s="17">
        <f>N6*EXP(-N8/N7/(N9+273.15))*N11</f>
        <v>5.7187685264186326E-3</v>
      </c>
      <c r="O12" s="4" t="s">
        <v>66</v>
      </c>
      <c r="U12" s="4">
        <v>2.1999999999999999E-2</v>
      </c>
      <c r="V12" s="23">
        <f t="shared" ref="V12:V20" si="1">U12/(3.14*$N$3^2)</f>
        <v>2.4027329995718767</v>
      </c>
      <c r="W12" s="4">
        <v>3.79</v>
      </c>
      <c r="X12" s="4">
        <f t="shared" si="0"/>
        <v>0.20843776106934009</v>
      </c>
      <c r="Y12" s="4">
        <v>1.0999999999999999E-2</v>
      </c>
      <c r="Z12" s="4">
        <v>796</v>
      </c>
    </row>
    <row r="13" spans="1:26" ht="13.8">
      <c r="A13" s="18">
        <v>5.0000000000000001E-3</v>
      </c>
      <c r="B13" s="18">
        <v>3.546962196875697E-2</v>
      </c>
      <c r="C13" s="21">
        <v>728.20529061462116</v>
      </c>
      <c r="D13" s="22"/>
      <c r="E13" s="18"/>
      <c r="F13" s="47" t="s">
        <v>118</v>
      </c>
      <c r="G13" s="49">
        <v>42</v>
      </c>
      <c r="H13" s="42" t="s">
        <v>19</v>
      </c>
      <c r="I13" s="45"/>
      <c r="M13" s="4" t="s">
        <v>68</v>
      </c>
      <c r="N13" s="4">
        <v>0.432</v>
      </c>
      <c r="U13" s="4">
        <v>3.3000000000000002E-2</v>
      </c>
      <c r="V13" s="23">
        <f t="shared" si="1"/>
        <v>3.6040994993578153</v>
      </c>
      <c r="W13" s="4">
        <v>3.23</v>
      </c>
      <c r="X13" s="4">
        <f t="shared" si="0"/>
        <v>0.32539682539682546</v>
      </c>
      <c r="Y13" s="4">
        <v>2.1999999999999999E-2</v>
      </c>
      <c r="Z13" s="4">
        <v>812</v>
      </c>
    </row>
    <row r="14" spans="1:26" ht="13.8">
      <c r="A14" s="18">
        <v>0.01</v>
      </c>
      <c r="B14" s="18">
        <v>8.9355444056466171E-2</v>
      </c>
      <c r="C14" s="21">
        <v>786.31459501837162</v>
      </c>
      <c r="D14" s="22"/>
      <c r="E14" s="18"/>
      <c r="F14" s="47" t="s">
        <v>119</v>
      </c>
      <c r="G14" s="42">
        <v>1700</v>
      </c>
      <c r="H14" s="42" t="s">
        <v>100</v>
      </c>
      <c r="I14" s="4" t="s">
        <v>7</v>
      </c>
      <c r="M14" s="4" t="s">
        <v>67</v>
      </c>
      <c r="N14" s="4">
        <v>520</v>
      </c>
      <c r="O14" s="43" t="s">
        <v>61</v>
      </c>
      <c r="P14" s="4" t="s">
        <v>11</v>
      </c>
      <c r="U14" s="4">
        <v>4.3999999999999997E-2</v>
      </c>
      <c r="V14" s="23">
        <f t="shared" si="1"/>
        <v>4.8054659991437534</v>
      </c>
      <c r="W14" s="4">
        <v>2.76</v>
      </c>
      <c r="X14" s="4">
        <f t="shared" si="0"/>
        <v>0.4235588972431078</v>
      </c>
      <c r="Y14" s="4">
        <v>3.3000000000000002E-2</v>
      </c>
      <c r="Z14" s="4">
        <v>820</v>
      </c>
    </row>
    <row r="15" spans="1:26" ht="13.8">
      <c r="A15" s="18">
        <v>1.5000000000000001E-2</v>
      </c>
      <c r="B15" s="18">
        <v>0.14831144914048783</v>
      </c>
      <c r="C15" s="21">
        <v>806.33627635657592</v>
      </c>
      <c r="D15" s="22"/>
      <c r="E15" s="18"/>
      <c r="F15" s="47" t="s">
        <v>120</v>
      </c>
      <c r="G15" s="42">
        <v>37</v>
      </c>
      <c r="H15" s="50" t="s">
        <v>20</v>
      </c>
      <c r="I15" s="4" t="s">
        <v>49</v>
      </c>
      <c r="K15" s="5"/>
      <c r="N15" s="4">
        <v>820</v>
      </c>
      <c r="O15" s="43" t="s">
        <v>61</v>
      </c>
      <c r="P15" s="4" t="s">
        <v>69</v>
      </c>
      <c r="U15" s="4">
        <v>5.5E-2</v>
      </c>
      <c r="V15" s="23">
        <f t="shared" si="1"/>
        <v>6.0068324989296924</v>
      </c>
      <c r="W15" s="4">
        <v>2.34</v>
      </c>
      <c r="X15" s="4">
        <f t="shared" si="0"/>
        <v>0.51127819548872189</v>
      </c>
      <c r="Y15" s="4">
        <v>4.3999999999999997E-2</v>
      </c>
      <c r="Z15" s="4">
        <v>826</v>
      </c>
    </row>
    <row r="16" spans="1:26" ht="13.8">
      <c r="A16" s="18">
        <v>0.02</v>
      </c>
      <c r="B16" s="18">
        <v>0.20671234182448905</v>
      </c>
      <c r="C16" s="21">
        <v>814.61336893982912</v>
      </c>
      <c r="D16" s="22"/>
      <c r="E16" s="18"/>
      <c r="F16" s="47" t="s">
        <v>121</v>
      </c>
      <c r="G16" s="42">
        <v>870</v>
      </c>
      <c r="H16" s="42" t="s">
        <v>101</v>
      </c>
      <c r="I16" s="4" t="s">
        <v>75</v>
      </c>
      <c r="M16" s="4" t="s">
        <v>70</v>
      </c>
      <c r="N16" s="4">
        <v>2.96</v>
      </c>
      <c r="O16" s="4" t="s">
        <v>71</v>
      </c>
      <c r="P16" s="4" t="s">
        <v>72</v>
      </c>
      <c r="U16" s="4">
        <v>6.6000000000000003E-2</v>
      </c>
      <c r="V16" s="23">
        <f t="shared" si="1"/>
        <v>7.2081989987156305</v>
      </c>
      <c r="W16" s="4">
        <v>1.99</v>
      </c>
      <c r="X16" s="4">
        <f t="shared" si="0"/>
        <v>0.58437761069340022</v>
      </c>
      <c r="Y16" s="4">
        <v>5.5E-2</v>
      </c>
      <c r="Z16" s="4">
        <v>832</v>
      </c>
    </row>
    <row r="17" spans="1:26" ht="13.8">
      <c r="A17" s="18">
        <v>2.4999999999999998E-2</v>
      </c>
      <c r="B17" s="18">
        <v>0.26236288330003421</v>
      </c>
      <c r="C17" s="21">
        <v>819.28353058513721</v>
      </c>
      <c r="D17" s="22"/>
      <c r="E17" s="18"/>
      <c r="F17" s="51" t="s">
        <v>122</v>
      </c>
      <c r="G17" s="42">
        <v>206200</v>
      </c>
      <c r="H17" s="42" t="s">
        <v>103</v>
      </c>
      <c r="I17" s="31" t="s">
        <v>123</v>
      </c>
      <c r="N17" s="4">
        <v>2.6</v>
      </c>
      <c r="O17" s="4" t="s">
        <v>71</v>
      </c>
      <c r="P17" s="4" t="s">
        <v>73</v>
      </c>
      <c r="U17" s="4">
        <v>7.6999999999999999E-2</v>
      </c>
      <c r="V17" s="23">
        <f t="shared" si="1"/>
        <v>8.4095654985015695</v>
      </c>
      <c r="W17" s="4">
        <v>1.68</v>
      </c>
      <c r="X17" s="4">
        <f t="shared" si="0"/>
        <v>0.64912280701754388</v>
      </c>
      <c r="Y17" s="4">
        <v>6.6000000000000003E-2</v>
      </c>
      <c r="Z17" s="4">
        <v>837</v>
      </c>
    </row>
    <row r="18" spans="1:26">
      <c r="A18" s="18">
        <v>2.9999999999999995E-2</v>
      </c>
      <c r="B18" s="18">
        <v>0.31470058833598524</v>
      </c>
      <c r="C18" s="21">
        <v>822.80901175592521</v>
      </c>
      <c r="D18" s="22"/>
      <c r="F18" s="5"/>
      <c r="G18" s="23"/>
      <c r="M18" s="4" t="s">
        <v>74</v>
      </c>
      <c r="N18" s="4">
        <v>850</v>
      </c>
      <c r="O18" s="4" t="s">
        <v>61</v>
      </c>
      <c r="P18" s="4" t="s">
        <v>75</v>
      </c>
      <c r="U18" s="4">
        <v>8.7999999999999995E-2</v>
      </c>
      <c r="V18" s="23">
        <f t="shared" si="1"/>
        <v>9.6109319982875068</v>
      </c>
      <c r="W18" s="4">
        <v>1.41</v>
      </c>
      <c r="X18" s="4">
        <f t="shared" si="0"/>
        <v>0.70551378446115298</v>
      </c>
      <c r="Y18" s="4">
        <v>7.6999999999999999E-2</v>
      </c>
      <c r="Z18" s="4">
        <v>842</v>
      </c>
    </row>
    <row r="19" spans="1:26">
      <c r="A19" s="18">
        <v>3.4999999999999996E-2</v>
      </c>
      <c r="B19" s="18">
        <v>0.36371297771427613</v>
      </c>
      <c r="C19" s="21">
        <v>825.89633805920278</v>
      </c>
      <c r="D19" s="22"/>
      <c r="F19" s="5"/>
      <c r="G19" s="23"/>
      <c r="M19" s="26" t="s">
        <v>76</v>
      </c>
      <c r="N19" s="4">
        <v>-206.2</v>
      </c>
      <c r="O19" s="4" t="s">
        <v>77</v>
      </c>
      <c r="U19" s="4">
        <v>9.9000000000000005E-2</v>
      </c>
      <c r="V19" s="23">
        <f t="shared" si="1"/>
        <v>10.812298498073446</v>
      </c>
      <c r="W19" s="4">
        <v>1.19</v>
      </c>
      <c r="X19" s="4">
        <f t="shared" si="0"/>
        <v>0.75146198830409361</v>
      </c>
      <c r="Y19" s="4">
        <v>8.7999999999999995E-2</v>
      </c>
      <c r="Z19" s="4">
        <v>846</v>
      </c>
    </row>
    <row r="20" spans="1:26">
      <c r="A20" s="18">
        <v>0.04</v>
      </c>
      <c r="B20" s="18">
        <v>0.40953810312340205</v>
      </c>
      <c r="C20" s="21">
        <v>828.74595533802062</v>
      </c>
      <c r="D20" s="22"/>
      <c r="F20" s="5"/>
      <c r="G20" s="1"/>
      <c r="M20" s="5" t="s">
        <v>78</v>
      </c>
      <c r="N20" s="4">
        <f>1/((1/83)+(1/14))</f>
        <v>11.979381443298971</v>
      </c>
      <c r="O20" s="4" t="s">
        <v>6</v>
      </c>
      <c r="P20" s="4" t="s">
        <v>7</v>
      </c>
      <c r="U20" s="4">
        <v>0.11</v>
      </c>
      <c r="V20" s="23">
        <f t="shared" si="1"/>
        <v>12.013664997859385</v>
      </c>
      <c r="W20" s="4">
        <v>1</v>
      </c>
      <c r="X20" s="4">
        <f t="shared" si="0"/>
        <v>0.79114452798663326</v>
      </c>
      <c r="Y20" s="4">
        <v>9.9000000000000005E-2</v>
      </c>
      <c r="Z20" s="4">
        <v>849</v>
      </c>
    </row>
    <row r="21" spans="1:26">
      <c r="A21" s="18">
        <v>4.5000000000000005E-2</v>
      </c>
      <c r="B21" s="18">
        <v>0.45234655209845903</v>
      </c>
      <c r="C21" s="21">
        <v>831.41837517366298</v>
      </c>
      <c r="D21" s="22"/>
      <c r="F21" s="5"/>
      <c r="G21" s="1"/>
      <c r="J21" s="18"/>
      <c r="M21" s="4" t="s">
        <v>79</v>
      </c>
      <c r="N21" s="23">
        <f>N16*1000*O25/N7/(N14+273.15)</f>
        <v>99.750216863627102</v>
      </c>
      <c r="O21" s="4" t="s">
        <v>63</v>
      </c>
      <c r="V21" s="23"/>
      <c r="Y21" s="4">
        <v>0.11</v>
      </c>
      <c r="Z21" s="4">
        <v>852</v>
      </c>
    </row>
    <row r="22" spans="1:26">
      <c r="A22" s="18">
        <v>5.000000000000001E-2</v>
      </c>
      <c r="B22" s="18">
        <v>0.49231005257583899</v>
      </c>
      <c r="C22" s="21">
        <v>833.93579166320171</v>
      </c>
      <c r="D22" s="22"/>
      <c r="F22" s="5"/>
      <c r="G22" s="18"/>
    </row>
    <row r="23" spans="1:26">
      <c r="A23" s="18">
        <v>5.5000000000000014E-2</v>
      </c>
      <c r="B23" s="18">
        <v>0.52959387208742004</v>
      </c>
      <c r="C23" s="21">
        <v>836.309605625166</v>
      </c>
      <c r="D23" s="22"/>
      <c r="E23" s="18"/>
      <c r="F23" s="5"/>
      <c r="G23" s="18"/>
      <c r="K23" s="5"/>
      <c r="M23" s="37" t="s">
        <v>35</v>
      </c>
      <c r="O23" s="4" t="s">
        <v>25</v>
      </c>
      <c r="P23" s="4" t="s">
        <v>32</v>
      </c>
    </row>
    <row r="24" spans="1:26">
      <c r="A24" s="18">
        <v>6.0000000000000019E-2</v>
      </c>
      <c r="B24" s="18">
        <v>0.56435538129906238</v>
      </c>
      <c r="C24" s="21">
        <v>838.54788296417667</v>
      </c>
      <c r="D24" s="22"/>
      <c r="E24" s="18"/>
      <c r="F24" s="5"/>
      <c r="G24" s="18"/>
      <c r="K24" s="5"/>
      <c r="M24" s="4" t="s">
        <v>26</v>
      </c>
      <c r="N24" s="4" t="s">
        <v>27</v>
      </c>
      <c r="O24" s="21">
        <f>O29+O30</f>
        <v>4529.2207792207791</v>
      </c>
      <c r="P24" s="36">
        <f>SUM(P29:P32)</f>
        <v>6622.727272727273</v>
      </c>
    </row>
    <row r="25" spans="1:26">
      <c r="A25" s="18">
        <v>6.5000000000000016E-2</v>
      </c>
      <c r="B25" s="18">
        <v>0.59674412093770646</v>
      </c>
      <c r="C25" s="21">
        <v>840.65743543601047</v>
      </c>
      <c r="D25" s="22"/>
      <c r="E25" s="18"/>
      <c r="F25" s="16"/>
      <c r="G25" s="18"/>
      <c r="K25" s="5"/>
      <c r="M25" s="4" t="s">
        <v>28</v>
      </c>
      <c r="N25" s="4" t="s">
        <v>42</v>
      </c>
      <c r="O25" s="39">
        <f>O29/(O29+O30)</f>
        <v>0.22222222222222224</v>
      </c>
      <c r="P25" s="18">
        <f>P29/(SUM(P29:P32))</f>
        <v>3.4954407294832825E-2</v>
      </c>
    </row>
    <row r="26" spans="1:26">
      <c r="A26" s="18">
        <v>7.0000000000000021E-2</v>
      </c>
      <c r="B26" s="18">
        <v>0.62690218120288033</v>
      </c>
      <c r="C26" s="21">
        <v>842.64444823135261</v>
      </c>
      <c r="D26" s="22"/>
      <c r="E26" s="18"/>
      <c r="F26" s="5"/>
      <c r="G26" s="28"/>
      <c r="H26" s="29"/>
      <c r="K26" s="16"/>
      <c r="M26" s="4" t="s">
        <v>29</v>
      </c>
      <c r="N26" s="4" t="s">
        <v>42</v>
      </c>
      <c r="O26" s="18">
        <f>O30/(O29+O30)</f>
        <v>0.77777777777777779</v>
      </c>
      <c r="P26" s="18">
        <f>P30/(SUM(P29:P32))</f>
        <v>0.49696048632218842</v>
      </c>
    </row>
    <row r="27" spans="1:26">
      <c r="A27" s="18">
        <v>7.5000000000000025E-2</v>
      </c>
      <c r="B27" s="18">
        <v>0.65496460205499507</v>
      </c>
      <c r="C27" s="21">
        <v>844.51470239823709</v>
      </c>
      <c r="D27" s="22"/>
      <c r="E27" s="18"/>
      <c r="F27" s="5"/>
      <c r="G27" s="28"/>
      <c r="H27" s="29"/>
      <c r="K27" s="27"/>
      <c r="M27" s="4" t="s">
        <v>33</v>
      </c>
      <c r="N27" s="4" t="s">
        <v>42</v>
      </c>
      <c r="P27" s="18">
        <f>P31/(SUM(P29:P32))</f>
        <v>0.35106382978723405</v>
      </c>
    </row>
    <row r="28" spans="1:26">
      <c r="A28" s="18">
        <v>8.0000000000000029E-2</v>
      </c>
      <c r="B28" s="18">
        <v>0.68105973179072943</v>
      </c>
      <c r="C28" s="21">
        <v>846.27367564906751</v>
      </c>
      <c r="D28" s="22"/>
      <c r="E28" s="18"/>
      <c r="F28" s="5"/>
      <c r="G28" s="28"/>
      <c r="H28" s="29"/>
      <c r="K28" s="27"/>
      <c r="M28" s="4" t="s">
        <v>34</v>
      </c>
      <c r="N28" s="4" t="s">
        <v>42</v>
      </c>
      <c r="P28" s="18">
        <f>P32/(SUM(P29:P32))</f>
        <v>0.11702127659574468</v>
      </c>
    </row>
    <row r="29" spans="1:26">
      <c r="A29" s="18">
        <v>8.5000000000000034E-2</v>
      </c>
      <c r="B29" s="18">
        <v>0.70530953816632846</v>
      </c>
      <c r="C29" s="21">
        <v>847.92660056715681</v>
      </c>
      <c r="D29" s="22"/>
      <c r="E29" s="18"/>
      <c r="F29" s="30"/>
      <c r="G29" s="28"/>
      <c r="I29" s="35"/>
      <c r="K29" s="27"/>
      <c r="M29" s="4" t="s">
        <v>40</v>
      </c>
      <c r="N29" s="4" t="s">
        <v>30</v>
      </c>
      <c r="O29" s="21">
        <f>P32/P33</f>
        <v>1006.4935064935065</v>
      </c>
      <c r="P29" s="36">
        <f>O29*(1-P33)</f>
        <v>231.49350649350649</v>
      </c>
      <c r="T29" s="36"/>
    </row>
    <row r="30" spans="1:26">
      <c r="A30" s="18">
        <v>9.0000000000000038E-2</v>
      </c>
      <c r="B30" s="18">
        <v>0.72782987921442521</v>
      </c>
      <c r="C30" s="21">
        <v>849.47850362129361</v>
      </c>
      <c r="D30" s="22"/>
      <c r="E30" s="18"/>
      <c r="F30" s="16"/>
      <c r="I30" s="32"/>
      <c r="K30" s="16"/>
      <c r="M30" s="4" t="s">
        <v>39</v>
      </c>
      <c r="N30" s="4" t="s">
        <v>30</v>
      </c>
      <c r="O30" s="21">
        <f>O29*3.5</f>
        <v>3522.727272727273</v>
      </c>
      <c r="P30" s="36">
        <f>O30-O29*(1-P33)</f>
        <v>3291.2337662337663</v>
      </c>
      <c r="Q30" s="38" t="s">
        <v>41</v>
      </c>
    </row>
    <row r="31" spans="1:26">
      <c r="A31" s="18">
        <v>9.5000000000000043E-2</v>
      </c>
      <c r="B31" s="18">
        <v>0.74873074267930206</v>
      </c>
      <c r="C31" s="21">
        <v>850.93423286878988</v>
      </c>
      <c r="D31" s="22"/>
      <c r="E31" s="18"/>
      <c r="M31" s="4" t="s">
        <v>38</v>
      </c>
      <c r="N31" s="4" t="s">
        <v>27</v>
      </c>
      <c r="P31" s="36">
        <f>3100*3/4</f>
        <v>2325</v>
      </c>
      <c r="Q31" s="38" t="s">
        <v>43</v>
      </c>
    </row>
    <row r="32" spans="1:26">
      <c r="A32" s="18">
        <v>0.10000000000000005</v>
      </c>
      <c r="B32" s="18">
        <v>0.76811646210651696</v>
      </c>
      <c r="C32" s="21">
        <v>852.29847768656725</v>
      </c>
      <c r="D32" s="22"/>
      <c r="E32" s="18"/>
      <c r="F32" s="16"/>
      <c r="G32" s="17"/>
      <c r="M32" s="4" t="s">
        <v>37</v>
      </c>
      <c r="N32" s="4" t="s">
        <v>27</v>
      </c>
      <c r="P32" s="36">
        <f>3100/4</f>
        <v>775</v>
      </c>
    </row>
    <row r="33" spans="1:17">
      <c r="A33" s="18">
        <v>0.10500000000000005</v>
      </c>
      <c r="B33" s="18">
        <v>0.78608591622818913</v>
      </c>
      <c r="C33" s="21">
        <v>853.57578241914291</v>
      </c>
      <c r="D33" s="22"/>
      <c r="E33" s="18"/>
      <c r="F33" s="5"/>
      <c r="M33" s="4" t="s">
        <v>31</v>
      </c>
      <c r="P33" s="4">
        <v>0.77</v>
      </c>
      <c r="Q33" s="38" t="s">
        <v>36</v>
      </c>
    </row>
    <row r="34" spans="1:17">
      <c r="A34" s="18">
        <v>0.11000000000000006</v>
      </c>
      <c r="B34" s="18">
        <v>0.80273271692610138</v>
      </c>
      <c r="C34" s="21">
        <v>854.77055528333267</v>
      </c>
      <c r="D34" s="22"/>
      <c r="E34" s="24"/>
      <c r="F34" s="5"/>
      <c r="H34" s="26"/>
      <c r="M34" s="40" t="s">
        <v>44</v>
      </c>
    </row>
    <row r="35" spans="1:17">
      <c r="A35" s="18"/>
      <c r="B35" s="18"/>
      <c r="C35" s="21"/>
      <c r="D35" s="22"/>
      <c r="E35" s="24"/>
      <c r="F35" s="5"/>
      <c r="M35" s="4" t="s">
        <v>45</v>
      </c>
      <c r="N35" s="4" t="s">
        <v>27</v>
      </c>
      <c r="O35" s="21">
        <f>O24/210</f>
        <v>21.567717996289424</v>
      </c>
      <c r="P35" s="21">
        <f>P24/210</f>
        <v>31.536796536796537</v>
      </c>
    </row>
    <row r="36" spans="1:17">
      <c r="A36" s="18"/>
      <c r="B36" s="18"/>
      <c r="C36" s="21"/>
      <c r="D36" s="22"/>
      <c r="E36" s="24"/>
      <c r="F36" s="5"/>
      <c r="N36" s="4" t="s">
        <v>46</v>
      </c>
      <c r="O36" s="18">
        <f>O35*1000/3600</f>
        <v>5.9910327767470628</v>
      </c>
      <c r="P36" s="18">
        <f>P35*1000/3600</f>
        <v>8.760221260221261</v>
      </c>
    </row>
    <row r="37" spans="1:17">
      <c r="A37" s="18"/>
      <c r="B37" s="18"/>
      <c r="C37" s="21"/>
      <c r="D37" s="22"/>
      <c r="E37" s="24"/>
      <c r="M37" s="4" t="s">
        <v>40</v>
      </c>
      <c r="N37" s="4" t="s">
        <v>46</v>
      </c>
      <c r="O37" s="18">
        <f>O36*O25</f>
        <v>1.3313406170549029</v>
      </c>
      <c r="P37" s="18">
        <f>O37*(1-P41)</f>
        <v>0.30620834192262764</v>
      </c>
    </row>
    <row r="38" spans="1:17">
      <c r="A38" s="18"/>
      <c r="B38" s="18"/>
      <c r="C38" s="21"/>
      <c r="D38" s="22"/>
      <c r="E38" s="24"/>
      <c r="M38" s="4" t="s">
        <v>39</v>
      </c>
      <c r="N38" s="4" t="s">
        <v>46</v>
      </c>
      <c r="O38" s="18">
        <f>O36*O26</f>
        <v>4.6596921596921597</v>
      </c>
      <c r="P38" s="18">
        <f>O38-O37*(1-P41)</f>
        <v>4.3534838177695319</v>
      </c>
    </row>
    <row r="39" spans="1:17">
      <c r="A39" s="18"/>
      <c r="B39" s="18"/>
      <c r="C39" s="21"/>
      <c r="D39" s="22"/>
      <c r="E39" s="24"/>
      <c r="M39" s="4" t="s">
        <v>38</v>
      </c>
      <c r="N39" s="4" t="s">
        <v>46</v>
      </c>
      <c r="O39" s="18"/>
      <c r="P39" s="18">
        <f>3*O37*P41</f>
        <v>3.0753968253968256</v>
      </c>
    </row>
    <row r="40" spans="1:17">
      <c r="A40" s="18"/>
      <c r="B40" s="18"/>
      <c r="C40" s="21"/>
      <c r="D40" s="22"/>
      <c r="E40" s="24"/>
      <c r="M40" s="4" t="s">
        <v>37</v>
      </c>
      <c r="N40" s="4" t="s">
        <v>46</v>
      </c>
      <c r="O40" s="18"/>
      <c r="P40" s="18">
        <f>O37*P41</f>
        <v>1.0251322751322753</v>
      </c>
    </row>
    <row r="41" spans="1:17">
      <c r="A41" s="18"/>
      <c r="B41" s="18"/>
      <c r="C41" s="21"/>
      <c r="D41" s="22"/>
      <c r="E41" s="24"/>
      <c r="M41" s="4" t="s">
        <v>31</v>
      </c>
      <c r="P41" s="4">
        <v>0.77</v>
      </c>
    </row>
    <row r="42" spans="1:17">
      <c r="A42" s="18"/>
      <c r="B42" s="18"/>
      <c r="C42" s="21"/>
      <c r="D42" s="22"/>
      <c r="E42" s="24"/>
    </row>
    <row r="43" spans="1:17">
      <c r="A43" s="18"/>
      <c r="B43" s="18"/>
      <c r="C43" s="21"/>
      <c r="D43" s="22"/>
      <c r="E43" s="24"/>
    </row>
    <row r="44" spans="1:17">
      <c r="A44" s="18"/>
      <c r="B44" s="18"/>
      <c r="C44" s="21"/>
      <c r="D44" s="22"/>
      <c r="E44" s="24"/>
    </row>
    <row r="45" spans="1:17">
      <c r="A45" s="18"/>
      <c r="B45" s="18"/>
      <c r="C45" s="21"/>
      <c r="D45" s="22"/>
      <c r="E45" s="24"/>
    </row>
    <row r="46" spans="1:17">
      <c r="A46" s="18"/>
      <c r="B46" s="18"/>
      <c r="C46" s="21"/>
      <c r="D46" s="22"/>
      <c r="E46" s="24"/>
    </row>
    <row r="47" spans="1:17">
      <c r="A47" s="18"/>
      <c r="B47" s="18"/>
      <c r="C47" s="21"/>
      <c r="D47" s="22"/>
      <c r="E47" s="24"/>
    </row>
    <row r="48" spans="1:17">
      <c r="A48" s="18"/>
      <c r="B48" s="18"/>
      <c r="C48" s="21"/>
      <c r="D48" s="22"/>
      <c r="E48" s="24"/>
    </row>
    <row r="49" spans="1:5">
      <c r="A49" s="18"/>
      <c r="B49" s="18"/>
      <c r="C49" s="21"/>
      <c r="D49" s="22"/>
      <c r="E49" s="24"/>
    </row>
    <row r="50" spans="1:5">
      <c r="A50" s="18"/>
      <c r="B50" s="18"/>
      <c r="C50" s="21"/>
      <c r="D50" s="22"/>
      <c r="E50" s="24"/>
    </row>
    <row r="51" spans="1:5">
      <c r="A51" s="18"/>
      <c r="B51" s="18"/>
      <c r="C51" s="21"/>
      <c r="D51" s="22"/>
      <c r="E51" s="24"/>
    </row>
    <row r="52" spans="1:5">
      <c r="A52" s="18"/>
      <c r="B52" s="18"/>
      <c r="C52" s="21"/>
      <c r="D52" s="22"/>
      <c r="E52" s="24"/>
    </row>
    <row r="53" spans="1:5">
      <c r="A53" s="18"/>
      <c r="B53" s="18"/>
      <c r="C53" s="21"/>
      <c r="D53" s="22"/>
      <c r="E53" s="24"/>
    </row>
    <row r="54" spans="1:5">
      <c r="A54" s="18"/>
      <c r="B54" s="18"/>
      <c r="C54" s="21"/>
      <c r="D54" s="22"/>
      <c r="E54" s="24"/>
    </row>
    <row r="55" spans="1:5">
      <c r="A55" s="18"/>
      <c r="B55" s="18"/>
      <c r="C55" s="21"/>
      <c r="D55" s="22"/>
      <c r="E55" s="24"/>
    </row>
    <row r="56" spans="1:5">
      <c r="A56" s="18"/>
      <c r="B56" s="18"/>
      <c r="C56" s="21"/>
      <c r="D56" s="22"/>
      <c r="E56" s="24"/>
    </row>
    <row r="57" spans="1:5">
      <c r="A57" s="18"/>
      <c r="B57" s="18"/>
      <c r="C57" s="21"/>
      <c r="D57" s="22"/>
      <c r="E57" s="24"/>
    </row>
    <row r="58" spans="1:5">
      <c r="A58" s="18"/>
      <c r="B58" s="18"/>
      <c r="C58" s="21"/>
      <c r="D58" s="22"/>
      <c r="E58" s="24"/>
    </row>
    <row r="59" spans="1:5">
      <c r="A59" s="18"/>
      <c r="B59" s="18"/>
      <c r="C59" s="21"/>
      <c r="D59" s="22"/>
      <c r="E59" s="24"/>
    </row>
    <row r="60" spans="1:5">
      <c r="A60" s="18"/>
      <c r="B60" s="18"/>
      <c r="C60" s="21"/>
      <c r="D60" s="22"/>
      <c r="E60" s="24"/>
    </row>
    <row r="61" spans="1:5">
      <c r="A61" s="18"/>
      <c r="B61" s="18"/>
      <c r="C61" s="21"/>
      <c r="D61" s="22"/>
      <c r="E61" s="24"/>
    </row>
    <row r="62" spans="1:5">
      <c r="A62" s="18"/>
      <c r="B62" s="18"/>
      <c r="C62" s="21"/>
      <c r="D62" s="22"/>
      <c r="E62" s="24"/>
    </row>
    <row r="63" spans="1:5">
      <c r="A63" s="18"/>
      <c r="B63" s="18"/>
      <c r="C63" s="21"/>
      <c r="D63" s="22"/>
    </row>
    <row r="64" spans="1:5">
      <c r="A64" s="18"/>
      <c r="B64" s="18"/>
      <c r="C64" s="21"/>
      <c r="D64" s="22"/>
    </row>
    <row r="65" spans="1:4">
      <c r="A65" s="18"/>
      <c r="B65" s="18"/>
      <c r="C65" s="21"/>
      <c r="D65" s="22"/>
    </row>
    <row r="66" spans="1:4">
      <c r="A66" s="18"/>
      <c r="B66" s="18"/>
      <c r="C66" s="21"/>
      <c r="D66" s="22"/>
    </row>
    <row r="67" spans="1:4">
      <c r="A67" s="18"/>
      <c r="B67" s="18"/>
      <c r="C67" s="21"/>
      <c r="D67" s="22"/>
    </row>
    <row r="68" spans="1:4">
      <c r="A68" s="18"/>
      <c r="B68" s="18"/>
      <c r="C68" s="21"/>
      <c r="D68" s="22"/>
    </row>
    <row r="69" spans="1:4">
      <c r="A69" s="18"/>
      <c r="B69" s="18"/>
      <c r="C69" s="21"/>
      <c r="D69" s="22"/>
    </row>
    <row r="70" spans="1:4">
      <c r="A70" s="18"/>
      <c r="B70" s="18"/>
      <c r="C70" s="21"/>
      <c r="D70" s="22"/>
    </row>
    <row r="71" spans="1:4">
      <c r="A71" s="18"/>
      <c r="B71" s="18"/>
      <c r="C71" s="21"/>
      <c r="D71" s="22"/>
    </row>
    <row r="72" spans="1:4">
      <c r="A72" s="18"/>
      <c r="B72" s="18"/>
      <c r="C72" s="21"/>
      <c r="D72" s="22"/>
    </row>
    <row r="73" spans="1:4">
      <c r="A73" s="6"/>
      <c r="B73" s="22"/>
      <c r="C73" s="21"/>
      <c r="D73" s="22"/>
    </row>
    <row r="74" spans="1:4">
      <c r="A74" s="6"/>
      <c r="B74" s="22"/>
      <c r="C74" s="21"/>
      <c r="D74" s="22"/>
    </row>
    <row r="75" spans="1:4">
      <c r="A75" s="6"/>
      <c r="B75" s="22"/>
      <c r="C75" s="21"/>
      <c r="D75" s="22"/>
    </row>
    <row r="76" spans="1:4">
      <c r="A76" s="6"/>
      <c r="B76" s="22"/>
      <c r="C76" s="21"/>
      <c r="D76" s="22"/>
    </row>
    <row r="77" spans="1:4">
      <c r="A77" s="6"/>
      <c r="B77" s="22"/>
      <c r="C77" s="21"/>
      <c r="D77" s="22"/>
    </row>
    <row r="78" spans="1:4">
      <c r="A78" s="6"/>
      <c r="B78" s="22"/>
      <c r="C78" s="21"/>
      <c r="D78" s="22"/>
    </row>
    <row r="79" spans="1:4">
      <c r="A79" s="6"/>
      <c r="B79" s="22"/>
      <c r="C79" s="21"/>
      <c r="D79" s="22"/>
    </row>
    <row r="80" spans="1:4">
      <c r="A80" s="6"/>
      <c r="B80" s="22"/>
      <c r="C80" s="21"/>
      <c r="D80" s="22"/>
    </row>
    <row r="81" spans="1:4">
      <c r="A81" s="6"/>
      <c r="B81" s="22"/>
      <c r="C81" s="21"/>
      <c r="D81" s="22"/>
    </row>
    <row r="82" spans="1:4">
      <c r="A82" s="6"/>
      <c r="B82" s="22"/>
      <c r="C82" s="21"/>
      <c r="D82" s="22"/>
    </row>
    <row r="83" spans="1:4">
      <c r="A83" s="6"/>
      <c r="B83" s="22"/>
      <c r="C83" s="21"/>
      <c r="D83" s="22"/>
    </row>
    <row r="84" spans="1:4">
      <c r="A84" s="6"/>
      <c r="B84" s="22"/>
      <c r="C84" s="21"/>
      <c r="D84" s="22"/>
    </row>
    <row r="85" spans="1:4">
      <c r="A85" s="6"/>
      <c r="B85" s="22"/>
      <c r="C85" s="21"/>
      <c r="D85" s="22"/>
    </row>
    <row r="86" spans="1:4">
      <c r="A86" s="6"/>
      <c r="B86" s="22"/>
      <c r="C86" s="21"/>
      <c r="D86" s="22"/>
    </row>
    <row r="87" spans="1:4">
      <c r="A87" s="6"/>
      <c r="B87" s="22"/>
      <c r="C87" s="21"/>
      <c r="D87" s="22"/>
    </row>
    <row r="88" spans="1:4">
      <c r="A88" s="6"/>
      <c r="B88" s="22"/>
      <c r="C88" s="21"/>
      <c r="D88" s="22"/>
    </row>
    <row r="89" spans="1:4">
      <c r="A89" s="6"/>
      <c r="B89" s="22"/>
      <c r="C89" s="21"/>
      <c r="D89" s="22"/>
    </row>
    <row r="90" spans="1:4">
      <c r="A90" s="6"/>
      <c r="B90" s="22"/>
      <c r="C90" s="21"/>
      <c r="D90" s="22"/>
    </row>
    <row r="91" spans="1:4">
      <c r="A91" s="6"/>
      <c r="B91" s="22"/>
      <c r="C91" s="21"/>
      <c r="D91" s="22"/>
    </row>
    <row r="92" spans="1:4">
      <c r="A92" s="6"/>
      <c r="B92" s="22"/>
      <c r="C92" s="21"/>
      <c r="D92" s="22"/>
    </row>
    <row r="93" spans="1:4">
      <c r="A93" s="6"/>
      <c r="B93" s="22"/>
      <c r="C93" s="21"/>
      <c r="D93" s="22"/>
    </row>
    <row r="94" spans="1:4">
      <c r="A94" s="6"/>
      <c r="B94" s="22"/>
      <c r="C94" s="21"/>
      <c r="D94" s="22"/>
    </row>
    <row r="95" spans="1:4">
      <c r="A95" s="6"/>
      <c r="B95" s="22"/>
      <c r="C95" s="21"/>
      <c r="D95" s="22"/>
    </row>
    <row r="96" spans="1:4">
      <c r="A96" s="6"/>
      <c r="B96" s="22"/>
      <c r="C96" s="21"/>
      <c r="D96" s="22"/>
    </row>
    <row r="97" spans="1:4">
      <c r="A97" s="6"/>
      <c r="B97" s="22"/>
      <c r="D97" s="22"/>
    </row>
    <row r="98" spans="1:4">
      <c r="A98" s="6"/>
      <c r="B98" s="22"/>
      <c r="D98" s="22"/>
    </row>
    <row r="99" spans="1:4">
      <c r="A99" s="6"/>
      <c r="B99" s="22"/>
      <c r="D99" s="22"/>
    </row>
    <row r="100" spans="1:4">
      <c r="A100" s="6"/>
      <c r="B100" s="22"/>
      <c r="D100" s="22"/>
    </row>
    <row r="101" spans="1:4">
      <c r="A101" s="6"/>
      <c r="B101" s="22"/>
      <c r="D101" s="22"/>
    </row>
    <row r="102" spans="1:4">
      <c r="A102" s="6"/>
      <c r="B102" s="22"/>
      <c r="D102" s="22"/>
    </row>
    <row r="103" spans="1:4">
      <c r="A103" s="6"/>
      <c r="B103" s="22"/>
      <c r="D103" s="22"/>
    </row>
    <row r="104" spans="1:4">
      <c r="B104" s="25"/>
      <c r="D104" s="25"/>
    </row>
    <row r="105" spans="1:4">
      <c r="B105" s="25"/>
      <c r="D105" s="25"/>
    </row>
    <row r="106" spans="1:4">
      <c r="B106" s="25"/>
      <c r="D106" s="25"/>
    </row>
    <row r="107" spans="1:4">
      <c r="B107" s="25"/>
      <c r="D107" s="25"/>
    </row>
    <row r="108" spans="1:4">
      <c r="B108" s="25"/>
      <c r="D108" s="25"/>
    </row>
    <row r="109" spans="1:4">
      <c r="B109" s="25"/>
      <c r="D109" s="25"/>
    </row>
    <row r="110" spans="1:4">
      <c r="B110" s="25"/>
      <c r="D110" s="25"/>
    </row>
    <row r="111" spans="1:4">
      <c r="B111" s="25"/>
      <c r="D111" s="25"/>
    </row>
    <row r="112" spans="1:4">
      <c r="B112" s="25"/>
      <c r="D112" s="25"/>
    </row>
    <row r="113" spans="2:4">
      <c r="B113" s="25"/>
      <c r="D113" s="25"/>
    </row>
    <row r="114" spans="2:4">
      <c r="B114" s="25"/>
      <c r="D114" s="25"/>
    </row>
    <row r="115" spans="2:4">
      <c r="B115" s="25"/>
      <c r="D115" s="25"/>
    </row>
    <row r="116" spans="2:4">
      <c r="B116" s="25"/>
      <c r="D116" s="25"/>
    </row>
    <row r="117" spans="2:4">
      <c r="B117" s="25"/>
      <c r="D117" s="25"/>
    </row>
    <row r="118" spans="2:4">
      <c r="B118" s="25"/>
      <c r="D118" s="25"/>
    </row>
    <row r="119" spans="2:4">
      <c r="B119" s="25"/>
      <c r="D119" s="25"/>
    </row>
    <row r="120" spans="2:4">
      <c r="B120" s="25"/>
      <c r="D120" s="25"/>
    </row>
    <row r="121" spans="2:4">
      <c r="B121" s="25"/>
      <c r="D121" s="25"/>
    </row>
    <row r="122" spans="2:4">
      <c r="B122" s="25"/>
      <c r="D122" s="25"/>
    </row>
    <row r="123" spans="2:4">
      <c r="B123" s="25"/>
      <c r="D123" s="25"/>
    </row>
    <row r="124" spans="2:4">
      <c r="B124" s="25"/>
      <c r="D124" s="25"/>
    </row>
    <row r="125" spans="2:4">
      <c r="B125" s="25"/>
      <c r="D125" s="25"/>
    </row>
    <row r="126" spans="2:4">
      <c r="B126" s="25"/>
      <c r="D126" s="25"/>
    </row>
    <row r="127" spans="2:4">
      <c r="B127" s="25"/>
      <c r="D127" s="25"/>
    </row>
    <row r="128" spans="2:4">
      <c r="B128" s="25"/>
      <c r="D128" s="25"/>
    </row>
    <row r="129" spans="2:4">
      <c r="B129" s="25"/>
      <c r="D129" s="25"/>
    </row>
    <row r="130" spans="2:4">
      <c r="B130" s="25"/>
      <c r="D130" s="25"/>
    </row>
    <row r="131" spans="2:4">
      <c r="B131" s="25"/>
      <c r="D131" s="25"/>
    </row>
    <row r="132" spans="2:4">
      <c r="B132" s="25"/>
      <c r="D132" s="25"/>
    </row>
    <row r="133" spans="2:4">
      <c r="B133" s="25"/>
      <c r="D133" s="25"/>
    </row>
    <row r="134" spans="2:4">
      <c r="B134" s="25"/>
      <c r="D134" s="25"/>
    </row>
    <row r="135" spans="2:4">
      <c r="B135" s="25"/>
      <c r="D135" s="25"/>
    </row>
    <row r="136" spans="2:4">
      <c r="B136" s="25"/>
      <c r="D136" s="25"/>
    </row>
    <row r="137" spans="2:4">
      <c r="B137" s="25"/>
      <c r="D137" s="25"/>
    </row>
    <row r="138" spans="2:4">
      <c r="B138" s="25"/>
      <c r="D138" s="25"/>
    </row>
    <row r="139" spans="2:4">
      <c r="B139" s="25"/>
      <c r="D139" s="25"/>
    </row>
    <row r="140" spans="2:4">
      <c r="B140" s="25"/>
      <c r="D140" s="25"/>
    </row>
    <row r="141" spans="2:4">
      <c r="B141" s="25"/>
      <c r="D141" s="25"/>
    </row>
    <row r="142" spans="2:4">
      <c r="B142" s="25"/>
      <c r="D142" s="25"/>
    </row>
    <row r="143" spans="2:4">
      <c r="B143" s="25"/>
      <c r="D143" s="25"/>
    </row>
    <row r="144" spans="2:4">
      <c r="B144" s="25"/>
      <c r="D144" s="25"/>
    </row>
    <row r="145" spans="2:4">
      <c r="B145" s="25"/>
      <c r="D145" s="25"/>
    </row>
    <row r="146" spans="2:4">
      <c r="B146" s="25"/>
      <c r="D146" s="25"/>
    </row>
    <row r="147" spans="2:4">
      <c r="B147" s="25"/>
      <c r="D147" s="25"/>
    </row>
    <row r="148" spans="2:4">
      <c r="B148" s="25"/>
      <c r="D148" s="25"/>
    </row>
    <row r="149" spans="2:4">
      <c r="B149" s="25"/>
      <c r="D149" s="25"/>
    </row>
    <row r="150" spans="2:4">
      <c r="B150" s="25"/>
      <c r="D150" s="25"/>
    </row>
    <row r="151" spans="2:4">
      <c r="B151" s="25"/>
      <c r="D151" s="25"/>
    </row>
    <row r="152" spans="2:4">
      <c r="B152" s="25"/>
      <c r="D152" s="25"/>
    </row>
    <row r="153" spans="2:4">
      <c r="B153" s="25"/>
      <c r="D153" s="25"/>
    </row>
    <row r="154" spans="2:4">
      <c r="B154" s="25"/>
      <c r="D154" s="25"/>
    </row>
    <row r="155" spans="2:4">
      <c r="B155" s="25"/>
      <c r="D155" s="25"/>
    </row>
    <row r="156" spans="2:4">
      <c r="B156" s="25"/>
      <c r="D156" s="25"/>
    </row>
    <row r="157" spans="2:4">
      <c r="B157" s="25"/>
      <c r="D157" s="25"/>
    </row>
    <row r="158" spans="2:4">
      <c r="B158" s="25"/>
      <c r="D158" s="25"/>
    </row>
    <row r="159" spans="2:4">
      <c r="B159" s="25"/>
      <c r="D159" s="25"/>
    </row>
    <row r="160" spans="2:4">
      <c r="B160" s="25"/>
      <c r="D160" s="25"/>
    </row>
    <row r="161" spans="2:4">
      <c r="B161" s="25"/>
      <c r="D161" s="25"/>
    </row>
    <row r="162" spans="2:4">
      <c r="B162" s="25"/>
      <c r="D162" s="25"/>
    </row>
    <row r="163" spans="2:4">
      <c r="B163" s="25"/>
      <c r="D163" s="25"/>
    </row>
    <row r="164" spans="2:4">
      <c r="B164" s="25"/>
      <c r="D164" s="25"/>
    </row>
    <row r="165" spans="2:4">
      <c r="B165" s="25"/>
      <c r="D165" s="25"/>
    </row>
    <row r="166" spans="2:4">
      <c r="B166" s="25"/>
      <c r="D166" s="25"/>
    </row>
    <row r="167" spans="2:4">
      <c r="B167" s="25"/>
      <c r="D167" s="25"/>
    </row>
    <row r="168" spans="2:4">
      <c r="B168" s="25"/>
      <c r="D168" s="25"/>
    </row>
    <row r="169" spans="2:4">
      <c r="B169" s="25"/>
      <c r="D169" s="25"/>
    </row>
    <row r="170" spans="2:4">
      <c r="B170" s="25"/>
      <c r="D170" s="25"/>
    </row>
    <row r="171" spans="2:4">
      <c r="B171" s="25"/>
      <c r="D171" s="25"/>
    </row>
    <row r="172" spans="2:4">
      <c r="B172" s="25"/>
      <c r="D172" s="25"/>
    </row>
    <row r="173" spans="2:4">
      <c r="B173" s="25"/>
      <c r="D173" s="25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_onClick">
                <anchor moveWithCells="1" sizeWithCells="1">
                  <from>
                    <xdr:col>2</xdr:col>
                    <xdr:colOff>45720</xdr:colOff>
                    <xdr:row>6</xdr:row>
                    <xdr:rowOff>137160</xdr:rowOff>
                  </from>
                  <to>
                    <xdr:col>4</xdr:col>
                    <xdr:colOff>38100</xdr:colOff>
                    <xdr:row>8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9"/>
  <sheetViews>
    <sheetView workbookViewId="0">
      <selection activeCell="B20" sqref="B20"/>
    </sheetView>
  </sheetViews>
  <sheetFormatPr defaultRowHeight="13.8"/>
  <cols>
    <col min="1" max="1" width="9.140625" style="52"/>
    <col min="2" max="2" width="39.7109375" style="52" customWidth="1"/>
    <col min="3" max="3" width="14.42578125" style="52" customWidth="1"/>
    <col min="4" max="4" width="14.140625" style="52" customWidth="1"/>
    <col min="5" max="5" width="9.140625" style="52"/>
    <col min="6" max="6" width="25.42578125" style="52" customWidth="1"/>
    <col min="7" max="16384" width="9.140625" style="52"/>
  </cols>
  <sheetData>
    <row r="1" spans="2:7" ht="14.4" thickBot="1"/>
    <row r="2" spans="2:7">
      <c r="B2" s="53" t="s">
        <v>125</v>
      </c>
      <c r="C2" s="61" t="s">
        <v>126</v>
      </c>
      <c r="D2" s="54" t="s">
        <v>127</v>
      </c>
      <c r="F2" s="53" t="s">
        <v>135</v>
      </c>
      <c r="G2" s="54"/>
    </row>
    <row r="3" spans="2:7">
      <c r="B3" s="62" t="s">
        <v>128</v>
      </c>
      <c r="C3" s="59">
        <v>2.96</v>
      </c>
      <c r="D3" s="63">
        <v>2.9599600000000001</v>
      </c>
      <c r="F3" s="55" t="s">
        <v>136</v>
      </c>
      <c r="G3" s="56" t="s">
        <v>137</v>
      </c>
    </row>
    <row r="4" spans="2:7" ht="14.4" thickBot="1">
      <c r="B4" s="62" t="s">
        <v>129</v>
      </c>
      <c r="C4" s="60">
        <v>520</v>
      </c>
      <c r="D4" s="64">
        <v>852.57299999999998</v>
      </c>
      <c r="F4" s="57" t="s">
        <v>138</v>
      </c>
      <c r="G4" s="58">
        <v>0.79058399999999995</v>
      </c>
    </row>
    <row r="5" spans="2:7">
      <c r="B5" s="62" t="s">
        <v>130</v>
      </c>
      <c r="C5" s="59">
        <v>5.99</v>
      </c>
      <c r="D5" s="63">
        <v>8.0929500000000001</v>
      </c>
    </row>
    <row r="6" spans="2:7">
      <c r="B6" s="62" t="s">
        <v>131</v>
      </c>
      <c r="C6" s="59">
        <v>1.33</v>
      </c>
      <c r="D6" s="63">
        <v>0.27852300000000002</v>
      </c>
    </row>
    <row r="7" spans="2:7">
      <c r="B7" s="62" t="s">
        <v>132</v>
      </c>
      <c r="C7" s="59">
        <v>4.66</v>
      </c>
      <c r="D7" s="63">
        <v>3.6085199999999999</v>
      </c>
    </row>
    <row r="8" spans="2:7">
      <c r="B8" s="62" t="s">
        <v>133</v>
      </c>
      <c r="C8" s="59">
        <v>0</v>
      </c>
      <c r="D8" s="63">
        <v>3.1544300000000001</v>
      </c>
    </row>
    <row r="9" spans="2:7" ht="14.4" thickBot="1">
      <c r="B9" s="57" t="s">
        <v>134</v>
      </c>
      <c r="C9" s="65">
        <v>0</v>
      </c>
      <c r="D9" s="66">
        <v>1.05148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例題31 非等温PBR</vt:lpstr>
      <vt:lpstr>Stream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2004-11-30T07:49:30Z</dcterms:created>
  <dcterms:modified xsi:type="dcterms:W3CDTF">2018-05-19T12:03:08Z</dcterms:modified>
</cp:coreProperties>
</file>